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pezlab/git/GC_skew/Multihit_CD_HO/DATAFILES/"/>
    </mc:Choice>
  </mc:AlternateContent>
  <xr:revisionPtr revIDLastSave="0" documentId="13_ncr:1_{1E416DD7-726C-434F-B625-D3635F68E7F5}" xr6:coauthVersionLast="45" xr6:coauthVersionMax="45" xr10:uidLastSave="{00000000-0000-0000-0000-000000000000}"/>
  <bookViews>
    <workbookView xWindow="0" yWindow="460" windowWidth="28800" windowHeight="16640" activeTab="4" xr2:uid="{00000000-000D-0000-FFFF-FFFF00000000}"/>
  </bookViews>
  <sheets>
    <sheet name="MATCHED" sheetId="1" r:id="rId1"/>
    <sheet name="cd" sheetId="2" r:id="rId2"/>
    <sheet name="ho" sheetId="3" r:id="rId3"/>
    <sheet name="Gene length" sheetId="4" r:id="rId4"/>
    <sheet name="Sheet1" sheetId="5" r:id="rId5"/>
  </sheets>
  <definedNames>
    <definedName name="_xlnm._FilterDatabase" localSheetId="2" hidden="1">ho!$A$4:$BF$176</definedName>
    <definedName name="_xlnm.Criteria" localSheetId="2">ho!$A:$A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3" l="1"/>
  <c r="H1" i="2"/>
  <c r="BY7" i="3" l="1"/>
  <c r="BY4" i="3"/>
  <c r="BN13" i="3"/>
  <c r="CS5" i="3"/>
  <c r="CO5" i="2"/>
  <c r="BG5" i="1"/>
  <c r="CO5" i="3"/>
  <c r="CP5" i="3"/>
  <c r="CP5" i="2"/>
  <c r="V5" i="4"/>
  <c r="BO27" i="2" l="1"/>
  <c r="BM18" i="2"/>
  <c r="BO17" i="2" s="1"/>
  <c r="BO16" i="2"/>
  <c r="BN16" i="2"/>
  <c r="BO15" i="2"/>
  <c r="BN15" i="2"/>
  <c r="BM14" i="2"/>
  <c r="BO14" i="2" s="1"/>
  <c r="BN28" i="3"/>
  <c r="BL19" i="3"/>
  <c r="BN18" i="3" s="1"/>
  <c r="BN17" i="3"/>
  <c r="BM17" i="3"/>
  <c r="BN16" i="3"/>
  <c r="BM16" i="3"/>
  <c r="BL15" i="3"/>
  <c r="BN15" i="3" s="1"/>
  <c r="BP15" i="2" l="1"/>
  <c r="BP16" i="2"/>
  <c r="BL14" i="3"/>
  <c r="BN14" i="3" s="1"/>
  <c r="BM13" i="2"/>
  <c r="BO13" i="2" s="1"/>
  <c r="BN14" i="2"/>
  <c r="BP14" i="2" s="1"/>
  <c r="BM19" i="2"/>
  <c r="BN17" i="2"/>
  <c r="BP17" i="2" s="1"/>
  <c r="BN13" i="2"/>
  <c r="BO16" i="3"/>
  <c r="BO17" i="3"/>
  <c r="BM15" i="3"/>
  <c r="BO15" i="3" s="1"/>
  <c r="BL20" i="3"/>
  <c r="BM14" i="3"/>
  <c r="BM18" i="3"/>
  <c r="BO18" i="3" s="1"/>
  <c r="BL13" i="3" l="1"/>
  <c r="BM13" i="3" s="1"/>
  <c r="BM12" i="2"/>
  <c r="BN12" i="2" s="1"/>
  <c r="BO18" i="2"/>
  <c r="BN18" i="2"/>
  <c r="BM20" i="2"/>
  <c r="BO14" i="3"/>
  <c r="BN19" i="3"/>
  <c r="BM19" i="3"/>
  <c r="BL21" i="3"/>
  <c r="BL12" i="3" l="1"/>
  <c r="BO12" i="2"/>
  <c r="BM11" i="2"/>
  <c r="BO11" i="2" s="1"/>
  <c r="BO13" i="3"/>
  <c r="BO19" i="2"/>
  <c r="BN19" i="2"/>
  <c r="BM21" i="2"/>
  <c r="BP18" i="2"/>
  <c r="BL11" i="3"/>
  <c r="BO19" i="3"/>
  <c r="BM12" i="3"/>
  <c r="BN12" i="3"/>
  <c r="BN20" i="3"/>
  <c r="BM20" i="3"/>
  <c r="BL22" i="3"/>
  <c r="BN11" i="2" l="1"/>
  <c r="BM10" i="2"/>
  <c r="BO10" i="2" s="1"/>
  <c r="BN10" i="2"/>
  <c r="BO20" i="2"/>
  <c r="BN20" i="2"/>
  <c r="BM22" i="2"/>
  <c r="BP19" i="2"/>
  <c r="BM9" i="2"/>
  <c r="BO9" i="2" s="1"/>
  <c r="BN9" i="2"/>
  <c r="BL10" i="3"/>
  <c r="BN10" i="3"/>
  <c r="BM11" i="3"/>
  <c r="BM21" i="3"/>
  <c r="BL23" i="3"/>
  <c r="BN21" i="3"/>
  <c r="BN11" i="3"/>
  <c r="BO20" i="3"/>
  <c r="BO12" i="3"/>
  <c r="BM8" i="2" l="1"/>
  <c r="BO8" i="2" s="1"/>
  <c r="BO21" i="2"/>
  <c r="BN21" i="2"/>
  <c r="BM23" i="2"/>
  <c r="BP20" i="2"/>
  <c r="BO21" i="3"/>
  <c r="BN22" i="3"/>
  <c r="BM22" i="3"/>
  <c r="BL24" i="3"/>
  <c r="BO11" i="3"/>
  <c r="BN9" i="3"/>
  <c r="BL9" i="3"/>
  <c r="BM9" i="3" s="1"/>
  <c r="BM10" i="3"/>
  <c r="BO10" i="3" s="1"/>
  <c r="BP21" i="2" l="1"/>
  <c r="BM7" i="2"/>
  <c r="BN7" i="2" s="1"/>
  <c r="BM24" i="2"/>
  <c r="BN22" i="2"/>
  <c r="BO22" i="2"/>
  <c r="BN8" i="2"/>
  <c r="BL8" i="3"/>
  <c r="BN8" i="3" s="1"/>
  <c r="BO9" i="3"/>
  <c r="BL25" i="3"/>
  <c r="BM23" i="3"/>
  <c r="BN23" i="3"/>
  <c r="BP22" i="2" l="1"/>
  <c r="BO23" i="2"/>
  <c r="BN23" i="2"/>
  <c r="BM25" i="2"/>
  <c r="BM6" i="2"/>
  <c r="BO6" i="2" s="1"/>
  <c r="BO7" i="2"/>
  <c r="BL7" i="3"/>
  <c r="BN7" i="3" s="1"/>
  <c r="BM8" i="3"/>
  <c r="BN24" i="3"/>
  <c r="BM24" i="3"/>
  <c r="BL26" i="3"/>
  <c r="BN6" i="2" l="1"/>
  <c r="BP23" i="2"/>
  <c r="BM5" i="2"/>
  <c r="BO5" i="2" s="1"/>
  <c r="BM26" i="2"/>
  <c r="BO24" i="2"/>
  <c r="BN24" i="2"/>
  <c r="BL27" i="3"/>
  <c r="BN25" i="3"/>
  <c r="BM25" i="3"/>
  <c r="BL6" i="3"/>
  <c r="BN6" i="3"/>
  <c r="BM6" i="3"/>
  <c r="BM7" i="3"/>
  <c r="BN26" i="2" l="1"/>
  <c r="BO25" i="2"/>
  <c r="BO26" i="2"/>
  <c r="BN25" i="2"/>
  <c r="BN5" i="2"/>
  <c r="BN27" i="3"/>
  <c r="BM27" i="3"/>
  <c r="BN26" i="3"/>
  <c r="BM26" i="3"/>
  <c r="CD5" i="3" l="1"/>
  <c r="CD5" i="2"/>
  <c r="CD6" i="3" s="1"/>
  <c r="CD7" i="3"/>
  <c r="CR5" i="3" l="1"/>
  <c r="T10" i="4" l="1"/>
  <c r="T9" i="4"/>
  <c r="T8" i="4"/>
  <c r="T7" i="4"/>
  <c r="T6" i="4"/>
  <c r="T5" i="4"/>
  <c r="Q10" i="4"/>
  <c r="Q9" i="4"/>
  <c r="Q8" i="4"/>
  <c r="Q7" i="4"/>
  <c r="Q6" i="4"/>
  <c r="Q5" i="4"/>
  <c r="S10" i="4" l="1"/>
  <c r="S9" i="4"/>
  <c r="S8" i="4"/>
  <c r="S7" i="4"/>
  <c r="S6" i="4"/>
  <c r="S5" i="4"/>
  <c r="R10" i="4"/>
  <c r="R9" i="4"/>
  <c r="R8" i="4"/>
  <c r="R7" i="4"/>
  <c r="R6" i="4"/>
  <c r="R5" i="4"/>
  <c r="P10" i="4"/>
  <c r="W10" i="4" s="1"/>
  <c r="P9" i="4"/>
  <c r="W9" i="4" s="1"/>
  <c r="P8" i="4"/>
  <c r="P7" i="4"/>
  <c r="W7" i="4" s="1"/>
  <c r="P6" i="4"/>
  <c r="P5" i="4"/>
  <c r="O10" i="4"/>
  <c r="O9" i="4"/>
  <c r="O8" i="4"/>
  <c r="V8" i="4" s="1"/>
  <c r="O7" i="4"/>
  <c r="V7" i="4" s="1"/>
  <c r="O6" i="4"/>
  <c r="O5" i="4"/>
  <c r="V10" i="4" l="1"/>
  <c r="W6" i="4"/>
  <c r="W8" i="4"/>
  <c r="V6" i="4"/>
  <c r="V9" i="4"/>
  <c r="W5" i="4"/>
  <c r="CR6" i="3"/>
  <c r="CG5" i="3" l="1"/>
  <c r="CF5" i="3"/>
  <c r="CF7" i="3" l="1"/>
  <c r="CK7" i="3"/>
  <c r="K701" i="2" l="1"/>
  <c r="K558" i="2"/>
  <c r="K138" i="2"/>
  <c r="K709" i="2"/>
  <c r="K437" i="2"/>
  <c r="K692" i="2"/>
  <c r="K257" i="2"/>
  <c r="K714" i="2"/>
  <c r="K708" i="2"/>
  <c r="K706" i="2"/>
  <c r="K667" i="2"/>
  <c r="K661" i="2"/>
  <c r="K640" i="2"/>
  <c r="K628" i="2"/>
  <c r="K623" i="2"/>
  <c r="K597" i="2"/>
  <c r="K591" i="2"/>
  <c r="K588" i="2"/>
  <c r="K586" i="2"/>
  <c r="K527" i="2"/>
  <c r="K510" i="2"/>
  <c r="K490" i="2"/>
  <c r="K480" i="2"/>
  <c r="K468" i="2"/>
  <c r="K424" i="2"/>
  <c r="K362" i="2"/>
  <c r="K353" i="2"/>
  <c r="K326" i="2"/>
  <c r="K282" i="2"/>
  <c r="K262" i="2"/>
  <c r="K255" i="2"/>
  <c r="K251" i="2"/>
  <c r="K201" i="2"/>
  <c r="K141" i="2"/>
  <c r="K140" i="2"/>
  <c r="K139" i="2"/>
  <c r="K133" i="2"/>
  <c r="K132" i="2"/>
  <c r="K115" i="2"/>
  <c r="K112" i="2"/>
  <c r="K101" i="2"/>
  <c r="K99" i="2"/>
  <c r="K48" i="2"/>
  <c r="K31" i="2"/>
  <c r="K9" i="2"/>
  <c r="K478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3" i="2"/>
  <c r="K712" i="2"/>
  <c r="K711" i="2"/>
  <c r="K710" i="2"/>
  <c r="K707" i="2"/>
  <c r="K705" i="2"/>
  <c r="K704" i="2"/>
  <c r="K703" i="2"/>
  <c r="K702" i="2"/>
  <c r="K700" i="2"/>
  <c r="K699" i="2"/>
  <c r="K698" i="2"/>
  <c r="K697" i="2"/>
  <c r="K696" i="2"/>
  <c r="K695" i="2"/>
  <c r="K694" i="2"/>
  <c r="K693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6" i="2"/>
  <c r="K665" i="2"/>
  <c r="K664" i="2"/>
  <c r="K663" i="2"/>
  <c r="K662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39" i="2"/>
  <c r="K638" i="2"/>
  <c r="K637" i="2"/>
  <c r="K636" i="2"/>
  <c r="K635" i="2"/>
  <c r="K634" i="2"/>
  <c r="K633" i="2"/>
  <c r="K632" i="2"/>
  <c r="K631" i="2"/>
  <c r="K630" i="2"/>
  <c r="K629" i="2"/>
  <c r="K627" i="2"/>
  <c r="K626" i="2"/>
  <c r="K625" i="2"/>
  <c r="K624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6" i="2"/>
  <c r="K595" i="2"/>
  <c r="K594" i="2"/>
  <c r="K593" i="2"/>
  <c r="K592" i="2"/>
  <c r="K590" i="2"/>
  <c r="K589" i="2"/>
  <c r="K587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89" i="2"/>
  <c r="K488" i="2"/>
  <c r="K487" i="2"/>
  <c r="K486" i="2"/>
  <c r="K485" i="2"/>
  <c r="K484" i="2"/>
  <c r="K483" i="2"/>
  <c r="K482" i="2"/>
  <c r="K481" i="2"/>
  <c r="K479" i="2"/>
  <c r="K477" i="2"/>
  <c r="K476" i="2"/>
  <c r="K475" i="2"/>
  <c r="K474" i="2"/>
  <c r="K473" i="2"/>
  <c r="K472" i="2"/>
  <c r="K471" i="2"/>
  <c r="K470" i="2"/>
  <c r="K469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1" i="2"/>
  <c r="K360" i="2"/>
  <c r="K359" i="2"/>
  <c r="K358" i="2"/>
  <c r="K357" i="2"/>
  <c r="K356" i="2"/>
  <c r="K355" i="2"/>
  <c r="K354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1" i="2"/>
  <c r="K260" i="2"/>
  <c r="K259" i="2"/>
  <c r="K258" i="2"/>
  <c r="K256" i="2"/>
  <c r="K254" i="2"/>
  <c r="K253" i="2"/>
  <c r="K252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37" i="2"/>
  <c r="K136" i="2"/>
  <c r="K135" i="2"/>
  <c r="K134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4" i="2"/>
  <c r="K113" i="2"/>
  <c r="K111" i="2"/>
  <c r="K110" i="2"/>
  <c r="K109" i="2"/>
  <c r="K108" i="2"/>
  <c r="K107" i="2"/>
  <c r="K106" i="2"/>
  <c r="K105" i="2"/>
  <c r="K104" i="2"/>
  <c r="K103" i="2"/>
  <c r="K102" i="2"/>
  <c r="K100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8" i="2"/>
  <c r="K7" i="2"/>
  <c r="K6" i="2"/>
  <c r="K5" i="2"/>
  <c r="K4" i="2"/>
  <c r="K115" i="3"/>
  <c r="K7" i="3"/>
  <c r="K63" i="3"/>
  <c r="K103" i="3"/>
  <c r="K99" i="3"/>
  <c r="K150" i="3"/>
  <c r="K35" i="3"/>
  <c r="K46" i="3"/>
  <c r="K110" i="3"/>
  <c r="K73" i="3"/>
  <c r="K47" i="3"/>
  <c r="K22" i="3"/>
  <c r="K89" i="3"/>
  <c r="K120" i="3"/>
  <c r="K151" i="3"/>
  <c r="K112" i="3"/>
  <c r="K36" i="3"/>
  <c r="K140" i="3"/>
  <c r="K143" i="3"/>
  <c r="K81" i="3"/>
  <c r="K95" i="3"/>
  <c r="K123" i="3"/>
  <c r="K176" i="3"/>
  <c r="K104" i="3"/>
  <c r="K135" i="3"/>
  <c r="K109" i="3"/>
  <c r="K54" i="3"/>
  <c r="K154" i="3"/>
  <c r="K88" i="3"/>
  <c r="K94" i="3"/>
  <c r="K175" i="3"/>
  <c r="K146" i="3"/>
  <c r="K23" i="3"/>
  <c r="K48" i="3"/>
  <c r="K174" i="3"/>
  <c r="K122" i="3"/>
  <c r="K17" i="3"/>
  <c r="K93" i="3"/>
  <c r="K10" i="3"/>
  <c r="K100" i="3"/>
  <c r="K119" i="3"/>
  <c r="K173" i="3"/>
  <c r="K58" i="3"/>
  <c r="K138" i="3"/>
  <c r="K158" i="3"/>
  <c r="K51" i="3"/>
  <c r="K55" i="3"/>
  <c r="K131" i="3"/>
  <c r="K45" i="3"/>
  <c r="K141" i="3"/>
  <c r="K40" i="3"/>
  <c r="K9" i="3"/>
  <c r="K66" i="3"/>
  <c r="K85" i="3"/>
  <c r="K157" i="3"/>
  <c r="K90" i="3"/>
  <c r="K172" i="3"/>
  <c r="K52" i="3"/>
  <c r="K44" i="3"/>
  <c r="K102" i="3"/>
  <c r="K41" i="3"/>
  <c r="K77" i="3"/>
  <c r="K37" i="3"/>
  <c r="K32" i="3"/>
  <c r="K142" i="3"/>
  <c r="K87" i="3"/>
  <c r="K121" i="3"/>
  <c r="K53" i="3"/>
  <c r="K67" i="3"/>
  <c r="K86" i="3"/>
  <c r="K19" i="3"/>
  <c r="K91" i="3"/>
  <c r="K130" i="3"/>
  <c r="K134" i="3"/>
  <c r="K171" i="3"/>
  <c r="K155" i="3"/>
  <c r="K28" i="3"/>
  <c r="K43" i="3"/>
  <c r="K5" i="3"/>
  <c r="K62" i="3"/>
  <c r="K111" i="3"/>
  <c r="K31" i="3"/>
  <c r="K4" i="3"/>
  <c r="K136" i="3"/>
  <c r="K92" i="3"/>
  <c r="K170" i="3"/>
  <c r="K145" i="3"/>
  <c r="K60" i="3"/>
  <c r="K29" i="3"/>
  <c r="K169" i="3"/>
  <c r="K168" i="3"/>
  <c r="K84" i="3"/>
  <c r="K167" i="3"/>
  <c r="K79" i="3"/>
  <c r="K42" i="3"/>
  <c r="K114" i="3"/>
  <c r="K56" i="3"/>
  <c r="K69" i="3"/>
  <c r="K18" i="3"/>
  <c r="K57" i="3"/>
  <c r="K14" i="3"/>
  <c r="K61" i="3"/>
  <c r="K96" i="3"/>
  <c r="K117" i="3"/>
  <c r="K70" i="3"/>
  <c r="K159" i="3"/>
  <c r="K6" i="3"/>
  <c r="K76" i="3"/>
  <c r="K25" i="3"/>
  <c r="K74" i="3"/>
  <c r="K152" i="3"/>
  <c r="K147" i="3"/>
  <c r="K127" i="3"/>
  <c r="K107" i="3"/>
  <c r="K39" i="3"/>
  <c r="K165" i="3"/>
  <c r="K128" i="3"/>
  <c r="K164" i="3"/>
  <c r="K38" i="3"/>
  <c r="K26" i="3"/>
  <c r="K156" i="3"/>
  <c r="K133" i="3"/>
  <c r="K24" i="3"/>
  <c r="K30" i="3"/>
  <c r="K20" i="3"/>
  <c r="K49" i="3"/>
  <c r="K161" i="3"/>
  <c r="K132" i="3"/>
  <c r="K8" i="3"/>
  <c r="K71" i="3"/>
  <c r="K15" i="3"/>
  <c r="K50" i="3"/>
  <c r="K139" i="3"/>
  <c r="K13" i="3"/>
  <c r="K113" i="3"/>
  <c r="K72" i="3"/>
  <c r="K144" i="3"/>
  <c r="K27" i="3"/>
  <c r="K59" i="3"/>
  <c r="K106" i="3"/>
  <c r="K118" i="3"/>
  <c r="K163" i="3"/>
  <c r="K129" i="3"/>
  <c r="K83" i="3"/>
  <c r="K148" i="3"/>
  <c r="K125" i="3"/>
  <c r="K166" i="3"/>
  <c r="K98" i="3"/>
  <c r="K75" i="3"/>
  <c r="K149" i="3"/>
  <c r="K126" i="3"/>
  <c r="K162" i="3"/>
  <c r="K78" i="3"/>
  <c r="K21" i="3"/>
  <c r="K82" i="3"/>
  <c r="K160" i="3"/>
  <c r="K124" i="3"/>
  <c r="K137" i="3"/>
  <c r="K12" i="3"/>
  <c r="K16" i="3"/>
  <c r="K153" i="3"/>
  <c r="K11" i="3"/>
  <c r="K33" i="3"/>
  <c r="K105" i="3"/>
  <c r="K116" i="3"/>
  <c r="K65" i="3"/>
  <c r="K97" i="3"/>
  <c r="K34" i="3"/>
  <c r="K80" i="3"/>
  <c r="K108" i="3"/>
  <c r="K68" i="3"/>
  <c r="K101" i="3"/>
  <c r="K64" i="3"/>
  <c r="CQ5" i="2"/>
  <c r="CQ6" i="3" s="1"/>
  <c r="CQ5" i="3"/>
  <c r="CR5" i="2" l="1"/>
  <c r="CS6" i="3" s="1"/>
  <c r="CP6" i="3"/>
  <c r="CP9" i="3" s="1"/>
  <c r="CO6" i="3"/>
  <c r="CO9" i="3" s="1"/>
  <c r="CI5" i="2"/>
  <c r="CI6" i="3" s="1"/>
  <c r="CH5" i="2"/>
  <c r="CH6" i="3" s="1"/>
  <c r="CG5" i="2"/>
  <c r="CG6" i="3" s="1"/>
  <c r="CF5" i="2"/>
  <c r="CF6" i="3" s="1"/>
  <c r="CF12" i="3" s="1"/>
  <c r="CM5" i="2"/>
  <c r="CM6" i="3" s="1"/>
  <c r="CL5" i="2"/>
  <c r="CL6" i="3" s="1"/>
  <c r="CK5" i="2"/>
  <c r="CK6" i="3" s="1"/>
  <c r="CI5" i="3"/>
  <c r="CH5" i="3"/>
  <c r="CU5" i="3"/>
  <c r="CM5" i="3"/>
  <c r="CL5" i="3"/>
  <c r="CK5" i="3"/>
  <c r="BY6" i="3"/>
  <c r="BY5" i="3"/>
  <c r="BZ14" i="3"/>
  <c r="BY7" i="2"/>
  <c r="BY13" i="3" s="1"/>
  <c r="BY6" i="2"/>
  <c r="BY12" i="3" s="1"/>
  <c r="BY5" i="2"/>
  <c r="BY11" i="3" s="1"/>
  <c r="BY4" i="2"/>
  <c r="BY10" i="3" s="1"/>
  <c r="CT5" i="3" l="1"/>
  <c r="CV5" i="3"/>
  <c r="CK12" i="3"/>
  <c r="CV6" i="3"/>
  <c r="CT6" i="3"/>
  <c r="CU6" i="3"/>
  <c r="CU7" i="3" s="1"/>
  <c r="BY8" i="3"/>
  <c r="BZ6" i="3" s="1"/>
  <c r="BY8" i="2"/>
  <c r="BZ4" i="2" s="1"/>
  <c r="BZ10" i="3" s="1"/>
  <c r="CT12" i="3" l="1"/>
  <c r="BZ4" i="3"/>
  <c r="BZ15" i="3" s="1"/>
  <c r="BZ5" i="3"/>
  <c r="BZ5" i="2"/>
  <c r="BZ11" i="3" s="1"/>
  <c r="BY14" i="3"/>
  <c r="BZ6" i="2"/>
  <c r="BZ12" i="3" s="1"/>
  <c r="BZ16" i="3" l="1"/>
  <c r="J163" i="1"/>
  <c r="J864" i="1"/>
  <c r="J177" i="1"/>
  <c r="J910" i="1"/>
  <c r="J178" i="1"/>
  <c r="J911" i="1"/>
  <c r="J179" i="1"/>
  <c r="J180" i="1"/>
  <c r="J181" i="1"/>
  <c r="J865" i="1"/>
  <c r="J182" i="1"/>
  <c r="J912" i="1"/>
  <c r="J183" i="1"/>
  <c r="J184" i="1"/>
  <c r="J913" i="1"/>
  <c r="J185" i="1"/>
  <c r="J186" i="1"/>
  <c r="J187" i="1"/>
  <c r="J188" i="1"/>
  <c r="J914" i="1"/>
  <c r="J189" i="1"/>
  <c r="J190" i="1"/>
  <c r="J915" i="1"/>
  <c r="J191" i="1"/>
  <c r="J192" i="1"/>
  <c r="J193" i="1"/>
  <c r="J194" i="1"/>
  <c r="J195" i="1"/>
  <c r="J196" i="1"/>
  <c r="J197" i="1"/>
  <c r="J198" i="1"/>
  <c r="J199" i="1"/>
  <c r="J916" i="1"/>
  <c r="J917" i="1"/>
  <c r="J200" i="1"/>
  <c r="J201" i="1"/>
  <c r="J918" i="1"/>
  <c r="J202" i="1"/>
  <c r="J866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867" i="1"/>
  <c r="J219" i="1"/>
  <c r="J220" i="1"/>
  <c r="J221" i="1"/>
  <c r="J919" i="1"/>
  <c r="J920" i="1"/>
  <c r="J921" i="1"/>
  <c r="J222" i="1"/>
  <c r="J223" i="1"/>
  <c r="J224" i="1"/>
  <c r="J922" i="1"/>
  <c r="J225" i="1"/>
  <c r="J226" i="1"/>
  <c r="J227" i="1"/>
  <c r="J228" i="1"/>
  <c r="J229" i="1"/>
  <c r="J230" i="1"/>
  <c r="J231" i="1"/>
  <c r="J232" i="1"/>
  <c r="J233" i="1"/>
  <c r="J923" i="1"/>
  <c r="J234" i="1"/>
  <c r="J235" i="1"/>
  <c r="J236" i="1"/>
  <c r="J237" i="1"/>
  <c r="J924" i="1"/>
  <c r="J925" i="1"/>
  <c r="J238" i="1"/>
  <c r="J926" i="1"/>
  <c r="J927" i="1"/>
  <c r="J928" i="1"/>
  <c r="J929" i="1"/>
  <c r="J930" i="1"/>
  <c r="J931" i="1"/>
  <c r="J932" i="1"/>
  <c r="J933" i="1"/>
  <c r="J239" i="1"/>
  <c r="J240" i="1"/>
  <c r="J934" i="1"/>
  <c r="J935" i="1"/>
  <c r="J241" i="1"/>
  <c r="J242" i="1"/>
  <c r="J243" i="1"/>
  <c r="J244" i="1"/>
  <c r="J936" i="1"/>
  <c r="J937" i="1"/>
  <c r="J938" i="1"/>
  <c r="J939" i="1"/>
  <c r="J940" i="1"/>
  <c r="J245" i="1"/>
  <c r="J246" i="1"/>
  <c r="J247" i="1"/>
  <c r="J248" i="1"/>
  <c r="J249" i="1"/>
  <c r="J941" i="1"/>
  <c r="J250" i="1"/>
  <c r="J251" i="1"/>
  <c r="J4" i="1"/>
  <c r="J252" i="1"/>
  <c r="J5" i="1"/>
  <c r="J253" i="1"/>
  <c r="J254" i="1"/>
  <c r="J255" i="1"/>
  <c r="J256" i="1"/>
  <c r="J257" i="1"/>
  <c r="J942" i="1"/>
  <c r="J258" i="1"/>
  <c r="J259" i="1"/>
  <c r="J260" i="1"/>
  <c r="J261" i="1"/>
  <c r="J262" i="1"/>
  <c r="J6" i="1"/>
  <c r="J263" i="1"/>
  <c r="J943" i="1"/>
  <c r="J7" i="1"/>
  <c r="J264" i="1"/>
  <c r="J265" i="1"/>
  <c r="J266" i="1"/>
  <c r="J267" i="1"/>
  <c r="J268" i="1"/>
  <c r="J868" i="1"/>
  <c r="J269" i="1"/>
  <c r="J944" i="1"/>
  <c r="J869" i="1"/>
  <c r="J945" i="1"/>
  <c r="J946" i="1"/>
  <c r="J270" i="1"/>
  <c r="J271" i="1"/>
  <c r="J272" i="1"/>
  <c r="J164" i="1"/>
  <c r="J8" i="1"/>
  <c r="J173" i="1"/>
  <c r="J273" i="1"/>
  <c r="J274" i="1"/>
  <c r="J9" i="1"/>
  <c r="J10" i="1"/>
  <c r="J11" i="1"/>
  <c r="J275" i="1"/>
  <c r="J276" i="1"/>
  <c r="J277" i="1"/>
  <c r="J947" i="1"/>
  <c r="J278" i="1"/>
  <c r="J279" i="1"/>
  <c r="J174" i="1"/>
  <c r="J12" i="1"/>
  <c r="J870" i="1"/>
  <c r="J948" i="1"/>
  <c r="J13" i="1"/>
  <c r="J280" i="1"/>
  <c r="J14" i="1"/>
  <c r="J281" i="1"/>
  <c r="J949" i="1"/>
  <c r="J871" i="1"/>
  <c r="J282" i="1"/>
  <c r="J283" i="1"/>
  <c r="J15" i="1"/>
  <c r="J16" i="1"/>
  <c r="J284" i="1"/>
  <c r="J285" i="1"/>
  <c r="J950" i="1"/>
  <c r="J951" i="1"/>
  <c r="J952" i="1"/>
  <c r="J286" i="1"/>
  <c r="J953" i="1"/>
  <c r="J954" i="1"/>
  <c r="J287" i="1"/>
  <c r="J288" i="1"/>
  <c r="J289" i="1"/>
  <c r="J290" i="1"/>
  <c r="J17" i="1"/>
  <c r="J18" i="1"/>
  <c r="J175" i="1"/>
  <c r="J19" i="1"/>
  <c r="J165" i="1"/>
  <c r="J20" i="1"/>
  <c r="J291" i="1"/>
  <c r="J292" i="1"/>
  <c r="J293" i="1"/>
  <c r="J294" i="1"/>
  <c r="J295" i="1"/>
  <c r="J955" i="1"/>
  <c r="J956" i="1"/>
  <c r="J296" i="1"/>
  <c r="J297" i="1"/>
  <c r="J872" i="1"/>
  <c r="J873" i="1"/>
  <c r="J298" i="1"/>
  <c r="J299" i="1"/>
  <c r="J300" i="1"/>
  <c r="J301" i="1"/>
  <c r="J907" i="1"/>
  <c r="J874" i="1"/>
  <c r="J875" i="1"/>
  <c r="J876" i="1"/>
  <c r="J302" i="1"/>
  <c r="J303" i="1"/>
  <c r="J304" i="1"/>
  <c r="J305" i="1"/>
  <c r="J306" i="1"/>
  <c r="J307" i="1"/>
  <c r="J308" i="1"/>
  <c r="J309" i="1"/>
  <c r="J310" i="1"/>
  <c r="J957" i="1"/>
  <c r="J958" i="1"/>
  <c r="J311" i="1"/>
  <c r="J312" i="1"/>
  <c r="J313" i="1"/>
  <c r="J314" i="1"/>
  <c r="J315" i="1"/>
  <c r="J316" i="1"/>
  <c r="J317" i="1"/>
  <c r="J318" i="1"/>
  <c r="J319" i="1"/>
  <c r="J166" i="1"/>
  <c r="J320" i="1"/>
  <c r="J321" i="1"/>
  <c r="J322" i="1"/>
  <c r="J959" i="1"/>
  <c r="J960" i="1"/>
  <c r="J21" i="1"/>
  <c r="J22" i="1"/>
  <c r="J323" i="1"/>
  <c r="J324" i="1"/>
  <c r="J23" i="1"/>
  <c r="J325" i="1"/>
  <c r="J24" i="1"/>
  <c r="J25" i="1"/>
  <c r="J26" i="1"/>
  <c r="J27" i="1"/>
  <c r="J28" i="1"/>
  <c r="J326" i="1"/>
  <c r="J327" i="1"/>
  <c r="J29" i="1"/>
  <c r="J328" i="1"/>
  <c r="J30" i="1"/>
  <c r="J31" i="1"/>
  <c r="J961" i="1"/>
  <c r="J32" i="1"/>
  <c r="J329" i="1"/>
  <c r="J330" i="1"/>
  <c r="J33" i="1"/>
  <c r="J331" i="1"/>
  <c r="J332" i="1"/>
  <c r="J333" i="1"/>
  <c r="J334" i="1"/>
  <c r="J962" i="1"/>
  <c r="J963" i="1"/>
  <c r="J335" i="1"/>
  <c r="J964" i="1"/>
  <c r="J336" i="1"/>
  <c r="J337" i="1"/>
  <c r="J965" i="1"/>
  <c r="J34" i="1"/>
  <c r="J35" i="1"/>
  <c r="J338" i="1"/>
  <c r="J36" i="1"/>
  <c r="J37" i="1"/>
  <c r="J339" i="1"/>
  <c r="J966" i="1"/>
  <c r="J38" i="1"/>
  <c r="J39" i="1"/>
  <c r="J340" i="1"/>
  <c r="J967" i="1"/>
  <c r="J341" i="1"/>
  <c r="J40" i="1"/>
  <c r="J41" i="1"/>
  <c r="J342" i="1"/>
  <c r="J343" i="1"/>
  <c r="J344" i="1"/>
  <c r="J42" i="1"/>
  <c r="J345" i="1"/>
  <c r="J167" i="1"/>
  <c r="J43" i="1"/>
  <c r="J44" i="1"/>
  <c r="J346" i="1"/>
  <c r="J347" i="1"/>
  <c r="J45" i="1"/>
  <c r="J46" i="1"/>
  <c r="J348" i="1"/>
  <c r="J968" i="1"/>
  <c r="J47" i="1"/>
  <c r="J349" i="1"/>
  <c r="J350" i="1"/>
  <c r="J351" i="1"/>
  <c r="J352" i="1"/>
  <c r="J969" i="1"/>
  <c r="J48" i="1"/>
  <c r="J353" i="1"/>
  <c r="J354" i="1"/>
  <c r="J355" i="1"/>
  <c r="J356" i="1"/>
  <c r="J357" i="1"/>
  <c r="J358" i="1"/>
  <c r="J359" i="1"/>
  <c r="J360" i="1"/>
  <c r="J877" i="1"/>
  <c r="J361" i="1"/>
  <c r="J970" i="1"/>
  <c r="J49" i="1"/>
  <c r="J362" i="1"/>
  <c r="J363" i="1"/>
  <c r="J364" i="1"/>
  <c r="J50" i="1"/>
  <c r="J971" i="1"/>
  <c r="J365" i="1"/>
  <c r="J51" i="1"/>
  <c r="J52" i="1"/>
  <c r="J53" i="1"/>
  <c r="J54" i="1"/>
  <c r="J366" i="1"/>
  <c r="J367" i="1"/>
  <c r="J368" i="1"/>
  <c r="J55" i="1"/>
  <c r="J369" i="1"/>
  <c r="J56" i="1"/>
  <c r="J57" i="1"/>
  <c r="J370" i="1"/>
  <c r="J371" i="1"/>
  <c r="J972" i="1"/>
  <c r="J372" i="1"/>
  <c r="J373" i="1"/>
  <c r="J973" i="1"/>
  <c r="J58" i="1"/>
  <c r="J59" i="1"/>
  <c r="J374" i="1"/>
  <c r="J375" i="1"/>
  <c r="J376" i="1"/>
  <c r="J974" i="1"/>
  <c r="J60" i="1"/>
  <c r="J377" i="1"/>
  <c r="J378" i="1"/>
  <c r="J379" i="1"/>
  <c r="J61" i="1"/>
  <c r="J62" i="1"/>
  <c r="J380" i="1"/>
  <c r="J63" i="1"/>
  <c r="J381" i="1"/>
  <c r="J64" i="1"/>
  <c r="J65" i="1"/>
  <c r="J382" i="1"/>
  <c r="J383" i="1"/>
  <c r="J975" i="1"/>
  <c r="J976" i="1"/>
  <c r="J384" i="1"/>
  <c r="J385" i="1"/>
  <c r="J977" i="1"/>
  <c r="J386" i="1"/>
  <c r="J387" i="1"/>
  <c r="J978" i="1"/>
  <c r="J66" i="1"/>
  <c r="J67" i="1"/>
  <c r="J388" i="1"/>
  <c r="J389" i="1"/>
  <c r="J979" i="1"/>
  <c r="J390" i="1"/>
  <c r="J391" i="1"/>
  <c r="J980" i="1"/>
  <c r="J392" i="1"/>
  <c r="J393" i="1"/>
  <c r="J394" i="1"/>
  <c r="J395" i="1"/>
  <c r="J396" i="1"/>
  <c r="J981" i="1"/>
  <c r="J397" i="1"/>
  <c r="J982" i="1"/>
  <c r="J398" i="1"/>
  <c r="J399" i="1"/>
  <c r="J400" i="1"/>
  <c r="J401" i="1"/>
  <c r="J68" i="1"/>
  <c r="J402" i="1"/>
  <c r="J403" i="1"/>
  <c r="J983" i="1"/>
  <c r="J69" i="1"/>
  <c r="J404" i="1"/>
  <c r="J405" i="1"/>
  <c r="J984" i="1"/>
  <c r="J406" i="1"/>
  <c r="J407" i="1"/>
  <c r="J408" i="1"/>
  <c r="J409" i="1"/>
  <c r="J878" i="1"/>
  <c r="J410" i="1"/>
  <c r="J411" i="1"/>
  <c r="J412" i="1"/>
  <c r="J879" i="1"/>
  <c r="J413" i="1"/>
  <c r="J903" i="1"/>
  <c r="J70" i="1"/>
  <c r="J414" i="1"/>
  <c r="J985" i="1"/>
  <c r="J415" i="1"/>
  <c r="J416" i="1"/>
  <c r="J417" i="1"/>
  <c r="J986" i="1"/>
  <c r="J880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881" i="1"/>
  <c r="J437" i="1"/>
  <c r="J987" i="1"/>
  <c r="J438" i="1"/>
  <c r="J439" i="1"/>
  <c r="J440" i="1"/>
  <c r="J441" i="1"/>
  <c r="J442" i="1"/>
  <c r="J988" i="1"/>
  <c r="J989" i="1"/>
  <c r="J443" i="1"/>
  <c r="J444" i="1"/>
  <c r="J445" i="1"/>
  <c r="J446" i="1"/>
  <c r="J990" i="1"/>
  <c r="J447" i="1"/>
  <c r="J448" i="1"/>
  <c r="J449" i="1"/>
  <c r="J450" i="1"/>
  <c r="J991" i="1"/>
  <c r="J451" i="1"/>
  <c r="J992" i="1"/>
  <c r="J452" i="1"/>
  <c r="J453" i="1"/>
  <c r="J454" i="1"/>
  <c r="J455" i="1"/>
  <c r="J456" i="1"/>
  <c r="J457" i="1"/>
  <c r="J458" i="1"/>
  <c r="J459" i="1"/>
  <c r="J993" i="1"/>
  <c r="J460" i="1"/>
  <c r="J461" i="1"/>
  <c r="J462" i="1"/>
  <c r="J994" i="1"/>
  <c r="J463" i="1"/>
  <c r="J464" i="1"/>
  <c r="J465" i="1"/>
  <c r="J99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996" i="1"/>
  <c r="J479" i="1"/>
  <c r="J997" i="1"/>
  <c r="J882" i="1"/>
  <c r="J480" i="1"/>
  <c r="J481" i="1"/>
  <c r="J998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999" i="1"/>
  <c r="J496" i="1"/>
  <c r="J497" i="1"/>
  <c r="J498" i="1"/>
  <c r="J499" i="1"/>
  <c r="J500" i="1"/>
  <c r="J501" i="1"/>
  <c r="J502" i="1"/>
  <c r="J503" i="1"/>
  <c r="J504" i="1"/>
  <c r="J505" i="1"/>
  <c r="J883" i="1"/>
  <c r="J506" i="1"/>
  <c r="J71" i="1"/>
  <c r="J1000" i="1"/>
  <c r="J507" i="1"/>
  <c r="J1001" i="1"/>
  <c r="J1002" i="1"/>
  <c r="J508" i="1"/>
  <c r="J509" i="1"/>
  <c r="J510" i="1"/>
  <c r="J72" i="1"/>
  <c r="J73" i="1"/>
  <c r="J511" i="1"/>
  <c r="J512" i="1"/>
  <c r="J74" i="1"/>
  <c r="J75" i="1"/>
  <c r="J76" i="1"/>
  <c r="J513" i="1"/>
  <c r="J77" i="1"/>
  <c r="J884" i="1"/>
  <c r="J78" i="1"/>
  <c r="J1003" i="1"/>
  <c r="J514" i="1"/>
  <c r="J1004" i="1"/>
  <c r="J515" i="1"/>
  <c r="J516" i="1"/>
  <c r="J1005" i="1"/>
  <c r="J517" i="1"/>
  <c r="J79" i="1"/>
  <c r="J1006" i="1"/>
  <c r="J1007" i="1"/>
  <c r="J518" i="1"/>
  <c r="J519" i="1"/>
  <c r="J520" i="1"/>
  <c r="J1008" i="1"/>
  <c r="J80" i="1"/>
  <c r="J521" i="1"/>
  <c r="J522" i="1"/>
  <c r="J81" i="1"/>
  <c r="J1009" i="1"/>
  <c r="J523" i="1"/>
  <c r="J524" i="1"/>
  <c r="J1010" i="1"/>
  <c r="J82" i="1"/>
  <c r="J1011" i="1"/>
  <c r="J525" i="1"/>
  <c r="J83" i="1"/>
  <c r="J1012" i="1"/>
  <c r="J526" i="1"/>
  <c r="J84" i="1"/>
  <c r="J1013" i="1"/>
  <c r="J1014" i="1"/>
  <c r="J1015" i="1"/>
  <c r="J1016" i="1"/>
  <c r="J85" i="1"/>
  <c r="J527" i="1"/>
  <c r="J528" i="1"/>
  <c r="J1017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1018" i="1"/>
  <c r="J544" i="1"/>
  <c r="J545" i="1"/>
  <c r="J86" i="1"/>
  <c r="J546" i="1"/>
  <c r="J1019" i="1"/>
  <c r="J547" i="1"/>
  <c r="J548" i="1"/>
  <c r="J87" i="1"/>
  <c r="J1020" i="1"/>
  <c r="J549" i="1"/>
  <c r="J550" i="1"/>
  <c r="J1021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1022" i="1"/>
  <c r="J563" i="1"/>
  <c r="J564" i="1"/>
  <c r="J1023" i="1"/>
  <c r="J565" i="1"/>
  <c r="J566" i="1"/>
  <c r="J567" i="1"/>
  <c r="J568" i="1"/>
  <c r="J1024" i="1"/>
  <c r="J88" i="1"/>
  <c r="J569" i="1"/>
  <c r="J570" i="1"/>
  <c r="J571" i="1"/>
  <c r="J572" i="1"/>
  <c r="J573" i="1"/>
  <c r="J574" i="1"/>
  <c r="J885" i="1"/>
  <c r="J575" i="1"/>
  <c r="J576" i="1"/>
  <c r="J1025" i="1"/>
  <c r="J577" i="1"/>
  <c r="J578" i="1"/>
  <c r="J579" i="1"/>
  <c r="J580" i="1"/>
  <c r="J581" i="1"/>
  <c r="J582" i="1"/>
  <c r="J1026" i="1"/>
  <c r="J583" i="1"/>
  <c r="J584" i="1"/>
  <c r="J585" i="1"/>
  <c r="J586" i="1"/>
  <c r="J89" i="1"/>
  <c r="J905" i="1"/>
  <c r="J587" i="1"/>
  <c r="J588" i="1"/>
  <c r="J90" i="1"/>
  <c r="J1027" i="1"/>
  <c r="J1028" i="1"/>
  <c r="J589" i="1"/>
  <c r="J91" i="1"/>
  <c r="J1029" i="1"/>
  <c r="J1030" i="1"/>
  <c r="J92" i="1"/>
  <c r="J590" i="1"/>
  <c r="J591" i="1"/>
  <c r="J93" i="1"/>
  <c r="J592" i="1"/>
  <c r="J593" i="1"/>
  <c r="J594" i="1"/>
  <c r="J94" i="1"/>
  <c r="J595" i="1"/>
  <c r="J596" i="1"/>
  <c r="J597" i="1"/>
  <c r="J598" i="1"/>
  <c r="J1031" i="1"/>
  <c r="J599" i="1"/>
  <c r="J600" i="1"/>
  <c r="J601" i="1"/>
  <c r="J602" i="1"/>
  <c r="J603" i="1"/>
  <c r="J1032" i="1"/>
  <c r="J1033" i="1"/>
  <c r="J604" i="1"/>
  <c r="J605" i="1"/>
  <c r="J606" i="1"/>
  <c r="J607" i="1"/>
  <c r="J608" i="1"/>
  <c r="J609" i="1"/>
  <c r="J610" i="1"/>
  <c r="J611" i="1"/>
  <c r="J612" i="1"/>
  <c r="J1034" i="1"/>
  <c r="J613" i="1"/>
  <c r="J95" i="1"/>
  <c r="J96" i="1"/>
  <c r="J614" i="1"/>
  <c r="J615" i="1"/>
  <c r="J616" i="1"/>
  <c r="J1035" i="1"/>
  <c r="J1036" i="1"/>
  <c r="J97" i="1"/>
  <c r="J98" i="1"/>
  <c r="J886" i="1"/>
  <c r="J99" i="1"/>
  <c r="J617" i="1"/>
  <c r="J100" i="1"/>
  <c r="J618" i="1"/>
  <c r="J619" i="1"/>
  <c r="J620" i="1"/>
  <c r="J621" i="1"/>
  <c r="J622" i="1"/>
  <c r="J623" i="1"/>
  <c r="J624" i="1"/>
  <c r="J1037" i="1"/>
  <c r="J1038" i="1"/>
  <c r="J1039" i="1"/>
  <c r="J625" i="1"/>
  <c r="J626" i="1"/>
  <c r="J887" i="1"/>
  <c r="J627" i="1"/>
  <c r="J628" i="1"/>
  <c r="J629" i="1"/>
  <c r="J630" i="1"/>
  <c r="J631" i="1"/>
  <c r="J632" i="1"/>
  <c r="J633" i="1"/>
  <c r="J634" i="1"/>
  <c r="J1040" i="1"/>
  <c r="J635" i="1"/>
  <c r="J888" i="1"/>
  <c r="J636" i="1"/>
  <c r="J1041" i="1"/>
  <c r="J637" i="1"/>
  <c r="J638" i="1"/>
  <c r="J639" i="1"/>
  <c r="J640" i="1"/>
  <c r="J641" i="1"/>
  <c r="J642" i="1"/>
  <c r="J643" i="1"/>
  <c r="J644" i="1"/>
  <c r="J1042" i="1"/>
  <c r="J645" i="1"/>
  <c r="J646" i="1"/>
  <c r="J647" i="1"/>
  <c r="J648" i="1"/>
  <c r="J649" i="1"/>
  <c r="J650" i="1"/>
  <c r="J651" i="1"/>
  <c r="J652" i="1"/>
  <c r="J653" i="1"/>
  <c r="J654" i="1"/>
  <c r="J889" i="1"/>
  <c r="J655" i="1"/>
  <c r="J1043" i="1"/>
  <c r="J656" i="1"/>
  <c r="J657" i="1"/>
  <c r="J101" i="1"/>
  <c r="J1044" i="1"/>
  <c r="J658" i="1"/>
  <c r="J659" i="1"/>
  <c r="J660" i="1"/>
  <c r="J661" i="1"/>
  <c r="J662" i="1"/>
  <c r="J102" i="1"/>
  <c r="J663" i="1"/>
  <c r="J664" i="1"/>
  <c r="J103" i="1"/>
  <c r="J1045" i="1"/>
  <c r="J1046" i="1"/>
  <c r="J1047" i="1"/>
  <c r="J665" i="1"/>
  <c r="J666" i="1"/>
  <c r="J667" i="1"/>
  <c r="J668" i="1"/>
  <c r="J669" i="1"/>
  <c r="J670" i="1"/>
  <c r="J890" i="1"/>
  <c r="J671" i="1"/>
  <c r="J672" i="1"/>
  <c r="J673" i="1"/>
  <c r="J674" i="1"/>
  <c r="J675" i="1"/>
  <c r="J676" i="1"/>
  <c r="J104" i="1"/>
  <c r="J105" i="1"/>
  <c r="J677" i="1"/>
  <c r="J106" i="1"/>
  <c r="J678" i="1"/>
  <c r="J679" i="1"/>
  <c r="J680" i="1"/>
  <c r="J681" i="1"/>
  <c r="J682" i="1"/>
  <c r="J683" i="1"/>
  <c r="J684" i="1"/>
  <c r="J685" i="1"/>
  <c r="J686" i="1"/>
  <c r="J687" i="1"/>
  <c r="J1048" i="1"/>
  <c r="J688" i="1"/>
  <c r="J107" i="1"/>
  <c r="J1049" i="1"/>
  <c r="J108" i="1"/>
  <c r="J109" i="1"/>
  <c r="J689" i="1"/>
  <c r="J690" i="1"/>
  <c r="J691" i="1"/>
  <c r="J692" i="1"/>
  <c r="J693" i="1"/>
  <c r="J694" i="1"/>
  <c r="J110" i="1"/>
  <c r="J111" i="1"/>
  <c r="J695" i="1"/>
  <c r="J112" i="1"/>
  <c r="J696" i="1"/>
  <c r="J1050" i="1"/>
  <c r="J697" i="1"/>
  <c r="J698" i="1"/>
  <c r="J699" i="1"/>
  <c r="J700" i="1"/>
  <c r="J908" i="1"/>
  <c r="J1051" i="1"/>
  <c r="J701" i="1"/>
  <c r="J702" i="1"/>
  <c r="J113" i="1"/>
  <c r="J703" i="1"/>
  <c r="J704" i="1"/>
  <c r="J705" i="1"/>
  <c r="J706" i="1"/>
  <c r="J707" i="1"/>
  <c r="J708" i="1"/>
  <c r="J709" i="1"/>
  <c r="J710" i="1"/>
  <c r="J711" i="1"/>
  <c r="J1052" i="1"/>
  <c r="J712" i="1"/>
  <c r="J713" i="1"/>
  <c r="J114" i="1"/>
  <c r="J714" i="1"/>
  <c r="J715" i="1"/>
  <c r="J115" i="1"/>
  <c r="J716" i="1"/>
  <c r="J1053" i="1"/>
  <c r="J717" i="1"/>
  <c r="J718" i="1"/>
  <c r="J719" i="1"/>
  <c r="J720" i="1"/>
  <c r="J116" i="1"/>
  <c r="J117" i="1"/>
  <c r="J118" i="1"/>
  <c r="J721" i="1"/>
  <c r="J119" i="1"/>
  <c r="J120" i="1"/>
  <c r="J121" i="1"/>
  <c r="J722" i="1"/>
  <c r="J1054" i="1"/>
  <c r="J723" i="1"/>
  <c r="J724" i="1"/>
  <c r="J725" i="1"/>
  <c r="J726" i="1"/>
  <c r="J1055" i="1"/>
  <c r="J727" i="1"/>
  <c r="J891" i="1"/>
  <c r="J728" i="1"/>
  <c r="J122" i="1"/>
  <c r="J168" i="1"/>
  <c r="J892" i="1"/>
  <c r="J1056" i="1"/>
  <c r="J729" i="1"/>
  <c r="J730" i="1"/>
  <c r="J123" i="1"/>
  <c r="J893" i="1"/>
  <c r="J1057" i="1"/>
  <c r="J1058" i="1"/>
  <c r="J124" i="1"/>
  <c r="J731" i="1"/>
  <c r="J732" i="1"/>
  <c r="J733" i="1"/>
  <c r="J734" i="1"/>
  <c r="J735" i="1"/>
  <c r="J894" i="1"/>
  <c r="J736" i="1"/>
  <c r="J737" i="1"/>
  <c r="J738" i="1"/>
  <c r="J739" i="1"/>
  <c r="J740" i="1"/>
  <c r="J1059" i="1"/>
  <c r="J741" i="1"/>
  <c r="J742" i="1"/>
  <c r="J743" i="1"/>
  <c r="J1060" i="1"/>
  <c r="J1061" i="1"/>
  <c r="J744" i="1"/>
  <c r="J745" i="1"/>
  <c r="J125" i="1"/>
  <c r="J126" i="1"/>
  <c r="J127" i="1"/>
  <c r="J746" i="1"/>
  <c r="J747" i="1"/>
  <c r="J128" i="1"/>
  <c r="J129" i="1"/>
  <c r="J1062" i="1"/>
  <c r="J130" i="1"/>
  <c r="J748" i="1"/>
  <c r="J749" i="1"/>
  <c r="J1063" i="1"/>
  <c r="J1064" i="1"/>
  <c r="J750" i="1"/>
  <c r="J131" i="1"/>
  <c r="J751" i="1"/>
  <c r="J752" i="1"/>
  <c r="J753" i="1"/>
  <c r="J754" i="1"/>
  <c r="J755" i="1"/>
  <c r="J756" i="1"/>
  <c r="J757" i="1"/>
  <c r="J758" i="1"/>
  <c r="J132" i="1"/>
  <c r="J133" i="1"/>
  <c r="J134" i="1"/>
  <c r="J759" i="1"/>
  <c r="J760" i="1"/>
  <c r="J895" i="1"/>
  <c r="J761" i="1"/>
  <c r="J762" i="1"/>
  <c r="J763" i="1"/>
  <c r="J135" i="1"/>
  <c r="J1065" i="1"/>
  <c r="J764" i="1"/>
  <c r="J896" i="1"/>
  <c r="J765" i="1"/>
  <c r="J1066" i="1"/>
  <c r="J1067" i="1"/>
  <c r="J136" i="1"/>
  <c r="J137" i="1"/>
  <c r="J138" i="1"/>
  <c r="J1068" i="1"/>
  <c r="J766" i="1"/>
  <c r="J767" i="1"/>
  <c r="J768" i="1"/>
  <c r="J769" i="1"/>
  <c r="J770" i="1"/>
  <c r="J771" i="1"/>
  <c r="J772" i="1"/>
  <c r="J773" i="1"/>
  <c r="J774" i="1"/>
  <c r="J775" i="1"/>
  <c r="J897" i="1"/>
  <c r="J776" i="1"/>
  <c r="J777" i="1"/>
  <c r="J778" i="1"/>
  <c r="J779" i="1"/>
  <c r="J780" i="1"/>
  <c r="J139" i="1"/>
  <c r="J169" i="1"/>
  <c r="J781" i="1"/>
  <c r="J782" i="1"/>
  <c r="J783" i="1"/>
  <c r="J784" i="1"/>
  <c r="J1069" i="1"/>
  <c r="J785" i="1"/>
  <c r="J1070" i="1"/>
  <c r="J786" i="1"/>
  <c r="J140" i="1"/>
  <c r="J1071" i="1"/>
  <c r="J787" i="1"/>
  <c r="J788" i="1"/>
  <c r="J1072" i="1"/>
  <c r="J1073" i="1"/>
  <c r="J141" i="1"/>
  <c r="J142" i="1"/>
  <c r="J143" i="1"/>
  <c r="J789" i="1"/>
  <c r="J790" i="1"/>
  <c r="J791" i="1"/>
  <c r="J792" i="1"/>
  <c r="J793" i="1"/>
  <c r="J794" i="1"/>
  <c r="J795" i="1"/>
  <c r="J898" i="1"/>
  <c r="J796" i="1"/>
  <c r="J797" i="1"/>
  <c r="J1074" i="1"/>
  <c r="J798" i="1"/>
  <c r="J799" i="1"/>
  <c r="J800" i="1"/>
  <c r="J899" i="1"/>
  <c r="J801" i="1"/>
  <c r="J802" i="1"/>
  <c r="J1075" i="1"/>
  <c r="J803" i="1"/>
  <c r="J804" i="1"/>
  <c r="J805" i="1"/>
  <c r="J806" i="1"/>
  <c r="J807" i="1"/>
  <c r="J808" i="1"/>
  <c r="J144" i="1"/>
  <c r="J809" i="1"/>
  <c r="J1076" i="1"/>
  <c r="J1077" i="1"/>
  <c r="J1078" i="1"/>
  <c r="J170" i="1"/>
  <c r="J1079" i="1"/>
  <c r="J810" i="1"/>
  <c r="J1080" i="1"/>
  <c r="J811" i="1"/>
  <c r="J812" i="1"/>
  <c r="J813" i="1"/>
  <c r="J814" i="1"/>
  <c r="J815" i="1"/>
  <c r="J816" i="1"/>
  <c r="J817" i="1"/>
  <c r="J818" i="1"/>
  <c r="J145" i="1"/>
  <c r="J819" i="1"/>
  <c r="J820" i="1"/>
  <c r="J146" i="1"/>
  <c r="J821" i="1"/>
  <c r="J822" i="1"/>
  <c r="J823" i="1"/>
  <c r="J824" i="1"/>
  <c r="J147" i="1"/>
  <c r="J904" i="1"/>
  <c r="J172" i="1"/>
  <c r="J148" i="1"/>
  <c r="J825" i="1"/>
  <c r="J826" i="1"/>
  <c r="J1081" i="1"/>
  <c r="J149" i="1"/>
  <c r="J1082" i="1"/>
  <c r="J150" i="1"/>
  <c r="J151" i="1"/>
  <c r="J827" i="1"/>
  <c r="J828" i="1"/>
  <c r="J1083" i="1"/>
  <c r="J829" i="1"/>
  <c r="J830" i="1"/>
  <c r="J831" i="1"/>
  <c r="J152" i="1"/>
  <c r="J153" i="1"/>
  <c r="J171" i="1"/>
  <c r="J832" i="1"/>
  <c r="J909" i="1"/>
  <c r="J833" i="1"/>
  <c r="J1084" i="1"/>
  <c r="J834" i="1"/>
  <c r="J154" i="1"/>
  <c r="J155" i="1"/>
  <c r="J835" i="1"/>
  <c r="J836" i="1"/>
  <c r="J900" i="1"/>
  <c r="J1085" i="1"/>
  <c r="J156" i="1"/>
  <c r="J837" i="1"/>
  <c r="J157" i="1"/>
  <c r="J901" i="1"/>
  <c r="J906" i="1"/>
  <c r="J838" i="1"/>
  <c r="J839" i="1"/>
  <c r="J840" i="1"/>
  <c r="J841" i="1"/>
  <c r="J902" i="1"/>
  <c r="J842" i="1"/>
  <c r="J843" i="1"/>
  <c r="J158" i="1"/>
  <c r="J159" i="1"/>
  <c r="J844" i="1"/>
  <c r="J845" i="1"/>
  <c r="J160" i="1"/>
  <c r="J161" i="1"/>
  <c r="J176" i="1"/>
  <c r="J846" i="1"/>
  <c r="J847" i="1"/>
  <c r="J1086" i="1"/>
  <c r="J848" i="1"/>
  <c r="J849" i="1"/>
  <c r="J850" i="1"/>
  <c r="J851" i="1"/>
  <c r="J1087" i="1"/>
  <c r="J852" i="1"/>
  <c r="J853" i="1"/>
  <c r="J854" i="1"/>
  <c r="J1088" i="1"/>
  <c r="J162" i="1"/>
  <c r="J855" i="1"/>
  <c r="J856" i="1"/>
  <c r="J1089" i="1"/>
  <c r="J1090" i="1"/>
  <c r="J857" i="1"/>
  <c r="J1091" i="1"/>
  <c r="J858" i="1"/>
  <c r="J859" i="1"/>
  <c r="J860" i="1"/>
  <c r="J861" i="1"/>
  <c r="J862" i="1"/>
  <c r="J863" i="1"/>
  <c r="J1092" i="1"/>
</calcChain>
</file>

<file path=xl/sharedStrings.xml><?xml version="1.0" encoding="utf-8"?>
<sst xmlns="http://schemas.openxmlformats.org/spreadsheetml/2006/main" count="26730" uniqueCount="4216">
  <si>
    <t>PROTEIN-CODING GENE ANNOTATION INFO</t>
  </si>
  <si>
    <t>ZONAL PHYLOGENY AND HAPLOTYPE DIVERSITY</t>
  </si>
  <si>
    <t>STRUCTURAL HOTSPOT MUTATIONS</t>
  </si>
  <si>
    <t>SYN/NONSYN MUTATIONS IN INTERNAL VS. TERMINAL BRANCHES</t>
  </si>
  <si>
    <t>OVERALL SEQUENCE DIVERSITY</t>
  </si>
  <si>
    <t>Gene#</t>
  </si>
  <si>
    <t>Gene Name</t>
  </si>
  <si>
    <t>GI</t>
  </si>
  <si>
    <t>Strand</t>
  </si>
  <si>
    <t>CDS-region</t>
  </si>
  <si>
    <t>Product</t>
  </si>
  <si>
    <t>Protein Length (AA)</t>
  </si>
  <si>
    <t>Representatives</t>
  </si>
  <si>
    <t># of Seqs</t>
  </si>
  <si>
    <t>ZP-Tree</t>
  </si>
  <si>
    <t>#Strains-PRI</t>
  </si>
  <si>
    <t>#Strains-EXT</t>
  </si>
  <si>
    <t>#Haplo-PRI</t>
  </si>
  <si>
    <t>#Haplo-EXT</t>
  </si>
  <si>
    <t>Haplo-Ratio</t>
  </si>
  <si>
    <t>Simp-PRI (SE)</t>
  </si>
  <si>
    <t>Simp-EXT (SE)</t>
  </si>
  <si>
    <t>Z-PRI_vs_EXT</t>
  </si>
  <si>
    <t>EXT&gt;PRI diversity at P&lt;0.05</t>
  </si>
  <si>
    <t>#HS-pos</t>
  </si>
  <si>
    <t>#HS-mut</t>
  </si>
  <si>
    <t>#NonHS-mut</t>
  </si>
  <si>
    <t>HSfreq</t>
  </si>
  <si>
    <t>#Para-PRI</t>
  </si>
  <si>
    <t>#Coinc-PRI</t>
  </si>
  <si>
    <t>#HS-PRI</t>
  </si>
  <si>
    <t>#NonHS-PRI</t>
  </si>
  <si>
    <t>HSfreq-PRI</t>
  </si>
  <si>
    <t>#Para-EXT</t>
  </si>
  <si>
    <t>#Coinc-EXT</t>
  </si>
  <si>
    <t>#HS-EXT</t>
  </si>
  <si>
    <t>#NonHS-EXT</t>
  </si>
  <si>
    <t>HSfreq-EXT</t>
  </si>
  <si>
    <t>#Tips</t>
  </si>
  <si>
    <t>#Twigs</t>
  </si>
  <si>
    <t>Tips-Syn</t>
  </si>
  <si>
    <t>Tips-Nonsyn</t>
  </si>
  <si>
    <t>Twigs-Syn</t>
  </si>
  <si>
    <t>Twigs-Nonsyn</t>
  </si>
  <si>
    <t>dN/dS-Tips (SE)</t>
  </si>
  <si>
    <t>dN/dS-Twigs (SE)</t>
  </si>
  <si>
    <t>Z-Tips_vs_Twigs</t>
  </si>
  <si>
    <t>Tips&gt;Twigs dN/dS at P&lt;0.05</t>
  </si>
  <si>
    <t>#Syn</t>
  </si>
  <si>
    <t>#Nonsyn</t>
  </si>
  <si>
    <t>Pi (SE)</t>
  </si>
  <si>
    <t>dS (SE)</t>
  </si>
  <si>
    <t>dN (SE)</t>
  </si>
  <si>
    <t>dN/dS</t>
  </si>
  <si>
    <t>Bootstrap P</t>
  </si>
  <si>
    <t>dN/dS-based selection</t>
  </si>
  <si>
    <t>Tajima D</t>
  </si>
  <si>
    <t>Fu &amp; Li D*</t>
  </si>
  <si>
    <t>Orientation</t>
  </si>
  <si>
    <t>dnaA</t>
  </si>
  <si>
    <t>+</t>
  </si>
  <si>
    <t>410-1747</t>
  </si>
  <si>
    <t>chromosomal replication initiator protein DnaA</t>
  </si>
  <si>
    <t>168 , BSN5 , RONN1 , SpizTUB10 , W23</t>
  </si>
  <si>
    <t>0.25000 (0.00000)</t>
  </si>
  <si>
    <t>1.00000 (0.00000)</t>
  </si>
  <si>
    <t>-</t>
  </si>
  <si>
    <t>0.00823 (0.01777)</t>
  </si>
  <si>
    <t>0.00000 (0.00000)</t>
  </si>
  <si>
    <t>non-sig</t>
  </si>
  <si>
    <t>Purifying</t>
  </si>
  <si>
    <t>codirectional</t>
  </si>
  <si>
    <t>yaaA</t>
  </si>
  <si>
    <t>3206-3418</t>
  </si>
  <si>
    <t>hypothetical protein</t>
  </si>
  <si>
    <t>recF</t>
  </si>
  <si>
    <t>3437-4546</t>
  </si>
  <si>
    <t>DNA replication and repair protein RecF</t>
  </si>
  <si>
    <t>0.06288 (0.02667)</t>
  </si>
  <si>
    <t>0.02643 (0.00000)</t>
  </si>
  <si>
    <t>yaaB</t>
  </si>
  <si>
    <t>4567-4809</t>
  </si>
  <si>
    <t>gyrB</t>
  </si>
  <si>
    <t>4867-6780</t>
  </si>
  <si>
    <t>DNA gyrase subunit B</t>
  </si>
  <si>
    <t>168 , BSN5 , RONN1 , SpizTUB10</t>
  </si>
  <si>
    <t>0.33333 (0.00000)</t>
  </si>
  <si>
    <t>0.01056 (0.02346)</t>
  </si>
  <si>
    <t>0.07470 (0.00000)</t>
  </si>
  <si>
    <t>guaB</t>
  </si>
  <si>
    <t>15915-17378</t>
  </si>
  <si>
    <t>inosine-5'-monophosphate dehydrogenase</t>
  </si>
  <si>
    <t>0.01624 (0.03953)</t>
  </si>
  <si>
    <t>dacA</t>
  </si>
  <si>
    <t>17534-18862</t>
  </si>
  <si>
    <t>D-alanyl-D-alanine carboxypeptidase DacA</t>
  </si>
  <si>
    <t>0.20000 (0.00000)</t>
  </si>
  <si>
    <t>0.09846 (0.02986)</t>
  </si>
  <si>
    <t>0.04597 (0.06166)</t>
  </si>
  <si>
    <t>yaaD</t>
  </si>
  <si>
    <t>19062-19943</t>
  </si>
  <si>
    <t>pyridoxal biosynthesis lyase PdxS</t>
  </si>
  <si>
    <t>0.01098 (0.01446)</t>
  </si>
  <si>
    <t>yaaK</t>
  </si>
  <si>
    <t>28529-28849</t>
  </si>
  <si>
    <t>nucleoid-associated protein YaaK</t>
  </si>
  <si>
    <t>168 , BSN5 , RONN1 , W23</t>
  </si>
  <si>
    <t>recR</t>
  </si>
  <si>
    <t>28867-29460</t>
  </si>
  <si>
    <t>recombination protein RecR</t>
  </si>
  <si>
    <t>yaaL</t>
  </si>
  <si>
    <t>29481-29702</t>
  </si>
  <si>
    <t>0.37500 (0.12500)</t>
  </si>
  <si>
    <t>0.03280 (0.04368)</t>
  </si>
  <si>
    <t>0.07658 (0.00000)</t>
  </si>
  <si>
    <t>csfB</t>
  </si>
  <si>
    <t>35531-35722</t>
  </si>
  <si>
    <t>sporulation protein CsfB</t>
  </si>
  <si>
    <t>yaaQ</t>
  </si>
  <si>
    <t>39871-40197</t>
  </si>
  <si>
    <t>0.02510 (0.02539)</t>
  </si>
  <si>
    <t>holB</t>
  </si>
  <si>
    <t>40665-41651</t>
  </si>
  <si>
    <t>DNA polymerase III subunit delta</t>
  </si>
  <si>
    <t>0.50000 (0.00000)</t>
  </si>
  <si>
    <t>0.02458 (0.02400)</t>
  </si>
  <si>
    <t>0.03662 (0.03462)</t>
  </si>
  <si>
    <t>yaaT</t>
  </si>
  <si>
    <t>41657-42481</t>
  </si>
  <si>
    <t>stage 0 sporulation protein YaaT</t>
  </si>
  <si>
    <t>0.02963 (0.02426)</t>
  </si>
  <si>
    <t>0.01360 (0.01594)</t>
  </si>
  <si>
    <t>yabA</t>
  </si>
  <si>
    <t>42499-42855</t>
  </si>
  <si>
    <t>initiation-control protein YabA</t>
  </si>
  <si>
    <t>0.28000 (0.08764)</t>
  </si>
  <si>
    <t>abrB</t>
  </si>
  <si>
    <t>44851-45138</t>
  </si>
  <si>
    <t>transition state regulatory protein AbrB</t>
  </si>
  <si>
    <t>head-on</t>
  </si>
  <si>
    <t>yabE</t>
  </si>
  <si>
    <t>48629-49939</t>
  </si>
  <si>
    <t>0.12472 (0.03715)</t>
  </si>
  <si>
    <t>0.03731 (0.02656)</t>
  </si>
  <si>
    <t>rnmV</t>
  </si>
  <si>
    <t>50087-50644</t>
  </si>
  <si>
    <t>ribonuclease M5</t>
  </si>
  <si>
    <t>0.09237 (0.05377)</t>
  </si>
  <si>
    <t>0.13883 (0.00000)</t>
  </si>
  <si>
    <t>veg</t>
  </si>
  <si>
    <t>52763-53020</t>
  </si>
  <si>
    <t>protein Veg</t>
  </si>
  <si>
    <t>sspF</t>
  </si>
  <si>
    <t>53183-53365</t>
  </si>
  <si>
    <t>small acid-soluble spore protein SspF</t>
  </si>
  <si>
    <t>ipk</t>
  </si>
  <si>
    <t>53516-54382</t>
  </si>
  <si>
    <t>4-diphosphocytidyl-2C-methyl-D-erythritolkinase</t>
  </si>
  <si>
    <t>0.06056 (0.06573)</t>
  </si>
  <si>
    <t>purR</t>
  </si>
  <si>
    <t>54441-55295</t>
  </si>
  <si>
    <t>Pur operon repressor</t>
  </si>
  <si>
    <t>yabJ</t>
  </si>
  <si>
    <t>55295-55669</t>
  </si>
  <si>
    <t>enamine/imine deaminase</t>
  </si>
  <si>
    <t>0.02573 (0.02964)</t>
  </si>
  <si>
    <t>spoVG</t>
  </si>
  <si>
    <t>55866-56156</t>
  </si>
  <si>
    <t>septation protein SpoVG</t>
  </si>
  <si>
    <t>0.30480 (0.43105)</t>
  </si>
  <si>
    <t>glmU</t>
  </si>
  <si>
    <t>56352-57719</t>
  </si>
  <si>
    <t>bifunctional N-acetylglucosamine-1-phosphateacetyltransferase</t>
  </si>
  <si>
    <t>0.04933 (0.01541)</t>
  </si>
  <si>
    <t>0.03039 (0.01901)</t>
  </si>
  <si>
    <t>prs</t>
  </si>
  <si>
    <t>57745-58695</t>
  </si>
  <si>
    <t>ribose-phosphate pyrophosphokinase</t>
  </si>
  <si>
    <t>pth</t>
  </si>
  <si>
    <t>59504-60067</t>
  </si>
  <si>
    <t>peptidyl-tRNA hydrolase</t>
  </si>
  <si>
    <t>0.05064 (0.08122)</t>
  </si>
  <si>
    <t>0.08459 (0.00000)</t>
  </si>
  <si>
    <t>yabK</t>
  </si>
  <si>
    <t>60130-60357</t>
  </si>
  <si>
    <t>0.55556 (0.18144)</t>
  </si>
  <si>
    <t>0.25924 (0.14967)</t>
  </si>
  <si>
    <t>0.16842 (0.00000)</t>
  </si>
  <si>
    <t>Neutral</t>
  </si>
  <si>
    <t>spoVT</t>
  </si>
  <si>
    <t>64099-64632</t>
  </si>
  <si>
    <t>stage V sporulation protein T</t>
  </si>
  <si>
    <t>yabP</t>
  </si>
  <si>
    <t>68216-68515</t>
  </si>
  <si>
    <t>spore protein YabP</t>
  </si>
  <si>
    <t>yabQ</t>
  </si>
  <si>
    <t>68515-69147</t>
  </si>
  <si>
    <t>spore protein YabQ</t>
  </si>
  <si>
    <t>0.39246 (0.14631)</t>
  </si>
  <si>
    <t>0.18492 (0.20467)</t>
  </si>
  <si>
    <t>divIC</t>
  </si>
  <si>
    <t>69168-69542</t>
  </si>
  <si>
    <t>cell division protein DivIC</t>
  </si>
  <si>
    <t>0.03864 (0.05916)</t>
  </si>
  <si>
    <t>0.03749 (0.04043)</t>
  </si>
  <si>
    <t>yabR</t>
  </si>
  <si>
    <t>69626-70009</t>
  </si>
  <si>
    <t>yabS</t>
  </si>
  <si>
    <t>73106-73840</t>
  </si>
  <si>
    <t>0.01390 (0.02565)</t>
  </si>
  <si>
    <t>0.02634 (0.03120)</t>
  </si>
  <si>
    <t>tilS</t>
  </si>
  <si>
    <t>74929-76344</t>
  </si>
  <si>
    <t>tRNA(ile)-lysidine synthase</t>
  </si>
  <si>
    <t>0.25356 (0.07981)</t>
  </si>
  <si>
    <t>0.08123 (0.07084)</t>
  </si>
  <si>
    <t>hprT</t>
  </si>
  <si>
    <t>76344-76883</t>
  </si>
  <si>
    <t>hypoxanthine-guanine phosphoribosyltransferase</t>
  </si>
  <si>
    <t>0.09655 (0.14879)</t>
  </si>
  <si>
    <t>0.05685 (0.00000)</t>
  </si>
  <si>
    <t>ftsH</t>
  </si>
  <si>
    <t>76984-78894</t>
  </si>
  <si>
    <t>ATP-dependent zinc metalloprotease FtsH</t>
  </si>
  <si>
    <t>0.00974 (0.01206)</t>
  </si>
  <si>
    <t>coaX</t>
  </si>
  <si>
    <t>79092-79865</t>
  </si>
  <si>
    <t>type III pantothenate kinase</t>
  </si>
  <si>
    <t>0.01665 (0.03132)</t>
  </si>
  <si>
    <t>0.01162 (0.01522)</t>
  </si>
  <si>
    <t>hslO</t>
  </si>
  <si>
    <t>79880-80752</t>
  </si>
  <si>
    <t>chaperonin</t>
  </si>
  <si>
    <t>0.03174 (0.03676)</t>
  </si>
  <si>
    <t>0.01485 (0.01582)</t>
  </si>
  <si>
    <t>cysK</t>
  </si>
  <si>
    <t>81771-82694</t>
  </si>
  <si>
    <t>cysteine synthase</t>
  </si>
  <si>
    <t>0.02323 (0.00904)</t>
  </si>
  <si>
    <t>sig</t>
  </si>
  <si>
    <t>yazB</t>
  </si>
  <si>
    <t>87401-87607</t>
  </si>
  <si>
    <t>XRE family transcriptional regulator</t>
  </si>
  <si>
    <t>0.06011 (0.08110)</t>
  </si>
  <si>
    <t>dusB</t>
  </si>
  <si>
    <t>87634-88632</t>
  </si>
  <si>
    <t>tRNA-dihydrouridine synthase</t>
  </si>
  <si>
    <t>0.03108 (0.04575)</t>
  </si>
  <si>
    <t>lysS</t>
  </si>
  <si>
    <t>88727-90223</t>
  </si>
  <si>
    <t>lysine--tRNA ligase</t>
  </si>
  <si>
    <t>0.01426 (0.01359)</t>
  </si>
  <si>
    <t>0.00538 (0.00732)</t>
  </si>
  <si>
    <t>ctsR</t>
  </si>
  <si>
    <t>101449-101910</t>
  </si>
  <si>
    <t>transcriptional regulator CtsR</t>
  </si>
  <si>
    <t>0.07415 (0.04561)</t>
  </si>
  <si>
    <t>mcsA</t>
  </si>
  <si>
    <t>101927-102481</t>
  </si>
  <si>
    <t>0.16474 (0.20747)</t>
  </si>
  <si>
    <t>0.01112 (0.01439)</t>
  </si>
  <si>
    <t>mcsB</t>
  </si>
  <si>
    <t>102484-103572</t>
  </si>
  <si>
    <t>ATP:guanido phosphotransferase YacI</t>
  </si>
  <si>
    <t>0.01522 (0.01138)</t>
  </si>
  <si>
    <t>0.03378 (0.03758)</t>
  </si>
  <si>
    <t>yacK</t>
  </si>
  <si>
    <t>107476-108555</t>
  </si>
  <si>
    <t>DNA integrity scanning protein DisA</t>
  </si>
  <si>
    <t>0.01120 (0.02172)</t>
  </si>
  <si>
    <t>0.00830 (0.00992)</t>
  </si>
  <si>
    <t>yacL</t>
  </si>
  <si>
    <t>108674-109771</t>
  </si>
  <si>
    <t>PIN and TRAM-domain containing protein YacL</t>
  </si>
  <si>
    <t>0.01510 (0.03144)</t>
  </si>
  <si>
    <t>0.01020 (0.01093)</t>
  </si>
  <si>
    <t>gltX</t>
  </si>
  <si>
    <t>111047-112495</t>
  </si>
  <si>
    <t>glutamate--tRNA ligase</t>
  </si>
  <si>
    <t>0.04025 (0.01752)</t>
  </si>
  <si>
    <t>0.02637 (0.01422)</t>
  </si>
  <si>
    <t>cysE</t>
  </si>
  <si>
    <t>112800-113450</t>
  </si>
  <si>
    <t>serine acetyltransferase</t>
  </si>
  <si>
    <t>0.03736 (0.04793)</t>
  </si>
  <si>
    <t>cysS</t>
  </si>
  <si>
    <t>113450-114847</t>
  </si>
  <si>
    <t>cysteine--tRNA ligase</t>
  </si>
  <si>
    <t>0.01720 (0.01827)</t>
  </si>
  <si>
    <t>mrnC</t>
  </si>
  <si>
    <t>114854-115282</t>
  </si>
  <si>
    <t>mini-ribonuclease 3</t>
  </si>
  <si>
    <t>0.11335 (0.13618)</t>
  </si>
  <si>
    <t>rlmB</t>
  </si>
  <si>
    <t>115269-116015</t>
  </si>
  <si>
    <t>23S rRNA(guanosine(2251)-2'-O)-methyltransferase RlmB</t>
  </si>
  <si>
    <t>0.02740 (0.05390)</t>
  </si>
  <si>
    <t>0.01291 (0.01679)</t>
  </si>
  <si>
    <t>yacP</t>
  </si>
  <si>
    <t>116025-116534</t>
  </si>
  <si>
    <t>0.05488 (0.05305)</t>
  </si>
  <si>
    <t>sigH</t>
  </si>
  <si>
    <t>116600-117253</t>
  </si>
  <si>
    <t>RNA polymerase sigma-H factor</t>
  </si>
  <si>
    <t>0.01878 (0.03772)</t>
  </si>
  <si>
    <t>rpmG</t>
  </si>
  <si>
    <t>117349-117495</t>
  </si>
  <si>
    <t>50S ribosomal protein L33</t>
  </si>
  <si>
    <t>secE</t>
  </si>
  <si>
    <t>117532-117708</t>
  </si>
  <si>
    <t>preprotein translocase subunit SecE</t>
  </si>
  <si>
    <t>nusG</t>
  </si>
  <si>
    <t>117890-118420</t>
  </si>
  <si>
    <t>transcription termination/antiterminationprotein NusG</t>
  </si>
  <si>
    <t>rplK</t>
  </si>
  <si>
    <t>118591-119013</t>
  </si>
  <si>
    <t>50S ribosomal protein L11</t>
  </si>
  <si>
    <t>rplA</t>
  </si>
  <si>
    <t>119111-119806</t>
  </si>
  <si>
    <t>50S ribosomal protein L1</t>
  </si>
  <si>
    <t>0.04978 (0.09954)</t>
  </si>
  <si>
    <t>rplJ</t>
  </si>
  <si>
    <t>120061-120558</t>
  </si>
  <si>
    <t>50S ribosomal protein L10</t>
  </si>
  <si>
    <t>rplL</t>
  </si>
  <si>
    <t>120607-120975</t>
  </si>
  <si>
    <t>50S ribosomal protein L7/L12</t>
  </si>
  <si>
    <t>ybxB</t>
  </si>
  <si>
    <t>121068-121670</t>
  </si>
  <si>
    <t>0.19321 (0.08123)</t>
  </si>
  <si>
    <t>0.03102 (0.00656)</t>
  </si>
  <si>
    <t>rpoB</t>
  </si>
  <si>
    <t>121919-125497</t>
  </si>
  <si>
    <t>DNA-directed RNA polymerase subunit beta</t>
  </si>
  <si>
    <t>0.00788 (0.01508)</t>
  </si>
  <si>
    <t>0.00503 (0.00549)</t>
  </si>
  <si>
    <t>rpoC</t>
  </si>
  <si>
    <t>125562-129158</t>
  </si>
  <si>
    <t>DNA-directed RNA polymerase subunit beta'</t>
  </si>
  <si>
    <t>0.00496 (0.00914)</t>
  </si>
  <si>
    <t>0.00886 (0.01087)</t>
  </si>
  <si>
    <t>ybxF</t>
  </si>
  <si>
    <t>129340-129585</t>
  </si>
  <si>
    <t>ribosome-associated protein L7Ae-like</t>
  </si>
  <si>
    <t>rpsL</t>
  </si>
  <si>
    <t>129702-130115</t>
  </si>
  <si>
    <t>30S ribosomal protein S12</t>
  </si>
  <si>
    <t>0.16649 (0.24030)</t>
  </si>
  <si>
    <t>rpsG</t>
  </si>
  <si>
    <t>130160-130627</t>
  </si>
  <si>
    <t>30S ribosomal protein S7</t>
  </si>
  <si>
    <t>fusA</t>
  </si>
  <si>
    <t>130684-132759</t>
  </si>
  <si>
    <t>elongation factor G</t>
  </si>
  <si>
    <t>0.00994 (0.01982)</t>
  </si>
  <si>
    <t>0.04931 (0.05073)</t>
  </si>
  <si>
    <t>tufA</t>
  </si>
  <si>
    <t>132882-134069</t>
  </si>
  <si>
    <t>elongation factor Tu</t>
  </si>
  <si>
    <t>0.03874 (0.07027)</t>
  </si>
  <si>
    <t>0.12224 (0.00000)</t>
  </si>
  <si>
    <t>rpsJ</t>
  </si>
  <si>
    <t>135364-135669</t>
  </si>
  <si>
    <t>30S ribosomal protein S10</t>
  </si>
  <si>
    <t>rplC</t>
  </si>
  <si>
    <t>135712-136338</t>
  </si>
  <si>
    <t>50S ribosomal protein L3</t>
  </si>
  <si>
    <t>0.15205 (0.18670)</t>
  </si>
  <si>
    <t>rplD</t>
  </si>
  <si>
    <t>136369-136989</t>
  </si>
  <si>
    <t>50S ribosomal protein L4</t>
  </si>
  <si>
    <t>0.03951 (0.04390)</t>
  </si>
  <si>
    <t>rplW</t>
  </si>
  <si>
    <t>136992-137276</t>
  </si>
  <si>
    <t>50S ribosomal protein L23</t>
  </si>
  <si>
    <t>rplB</t>
  </si>
  <si>
    <t>137311-138141</t>
  </si>
  <si>
    <t>50S ribosomal protein L2</t>
  </si>
  <si>
    <t>rpsS</t>
  </si>
  <si>
    <t>138202-138477</t>
  </si>
  <si>
    <t>30S ribosomal protein S19</t>
  </si>
  <si>
    <t>rplV</t>
  </si>
  <si>
    <t>138497-138835</t>
  </si>
  <si>
    <t>50S ribosomal protein L22</t>
  </si>
  <si>
    <t>rpsC</t>
  </si>
  <si>
    <t>138842-139495</t>
  </si>
  <si>
    <t>30S ribosomal protein S3</t>
  </si>
  <si>
    <t>0.15979 (0.23064)</t>
  </si>
  <si>
    <t>0.03875 (0.05481)</t>
  </si>
  <si>
    <t>rplP</t>
  </si>
  <si>
    <t>139500-139931</t>
  </si>
  <si>
    <t>50S ribosomal protein L16</t>
  </si>
  <si>
    <t>rpmC</t>
  </si>
  <si>
    <t>139924-140121</t>
  </si>
  <si>
    <t>50S ribosomal protein L29</t>
  </si>
  <si>
    <t>rpsQ</t>
  </si>
  <si>
    <t>140147-140407</t>
  </si>
  <si>
    <t>30S ribosomal protein S17</t>
  </si>
  <si>
    <t>rplN</t>
  </si>
  <si>
    <t>140451-140816</t>
  </si>
  <si>
    <t>50S ribosomal protein L14</t>
  </si>
  <si>
    <t>rplX</t>
  </si>
  <si>
    <t>140857-141165</t>
  </si>
  <si>
    <t>50S ribosomal protein L24</t>
  </si>
  <si>
    <t>rplE</t>
  </si>
  <si>
    <t>141195-141731</t>
  </si>
  <si>
    <t>50S ribosomal protein L5</t>
  </si>
  <si>
    <t>rpsN</t>
  </si>
  <si>
    <t>141757-141939</t>
  </si>
  <si>
    <t>30S ribosomal protein S14</t>
  </si>
  <si>
    <t>rpsH</t>
  </si>
  <si>
    <t>141974-142369</t>
  </si>
  <si>
    <t>30S ribosomal protein S8</t>
  </si>
  <si>
    <t>0.10094 (0.11655)</t>
  </si>
  <si>
    <t>rplF</t>
  </si>
  <si>
    <t>142402-142938</t>
  </si>
  <si>
    <t>50S ribosomal protein L6</t>
  </si>
  <si>
    <t>0.02932 (0.03840)</t>
  </si>
  <si>
    <t>0.10694 (0.00000)</t>
  </si>
  <si>
    <t>rplR</t>
  </si>
  <si>
    <t>142974-143333</t>
  </si>
  <si>
    <t>50S ribosomal protein L18</t>
  </si>
  <si>
    <t>rpsE</t>
  </si>
  <si>
    <t>143361-143858</t>
  </si>
  <si>
    <t>30S ribosomal protein S5</t>
  </si>
  <si>
    <t>rpmD</t>
  </si>
  <si>
    <t>143875-144051</t>
  </si>
  <si>
    <t>50S ribosomal protein L30</t>
  </si>
  <si>
    <t>rplO</t>
  </si>
  <si>
    <t>144085-144522</t>
  </si>
  <si>
    <t>50S ribosomal protein L15</t>
  </si>
  <si>
    <t>secY</t>
  </si>
  <si>
    <t>144527-145819</t>
  </si>
  <si>
    <t>protein translocase subunit SecY</t>
  </si>
  <si>
    <t>0.02826 (0.05412)</t>
  </si>
  <si>
    <t>0.09488 (0.09973)</t>
  </si>
  <si>
    <t>adk</t>
  </si>
  <si>
    <t>145877-146527</t>
  </si>
  <si>
    <t>adenylate kinase</t>
  </si>
  <si>
    <t>0.04232 (0.06831)</t>
  </si>
  <si>
    <t>0.04888 (0.05016)</t>
  </si>
  <si>
    <t>mapA</t>
  </si>
  <si>
    <t>146527-147270</t>
  </si>
  <si>
    <t>methionine aminopeptidase 1</t>
  </si>
  <si>
    <t>infA</t>
  </si>
  <si>
    <t>147585-147800</t>
  </si>
  <si>
    <t>translation initiation factor IF-1</t>
  </si>
  <si>
    <t>rpmJ</t>
  </si>
  <si>
    <t>147837-147947</t>
  </si>
  <si>
    <t>50S ribosomal protein L36</t>
  </si>
  <si>
    <t>rpsM</t>
  </si>
  <si>
    <t>147973-148335</t>
  </si>
  <si>
    <t>30S ribosomal protein S13</t>
  </si>
  <si>
    <t>rpsK</t>
  </si>
  <si>
    <t>148359-148751</t>
  </si>
  <si>
    <t>30S ribosomal protein S11</t>
  </si>
  <si>
    <t>rpoA</t>
  </si>
  <si>
    <t>148931-149872</t>
  </si>
  <si>
    <t>DNA-directed RNA polymerase subunit alpha</t>
  </si>
  <si>
    <t>rplQ</t>
  </si>
  <si>
    <t>149953-150312</t>
  </si>
  <si>
    <t>50S ribosomal protein L17</t>
  </si>
  <si>
    <t>cbiO</t>
  </si>
  <si>
    <t>150443-151285</t>
  </si>
  <si>
    <t>energy-coupling factor transporter ATP-bindingprotein EcfA1</t>
  </si>
  <si>
    <t>0.07793 (0.06963)</t>
  </si>
  <si>
    <t>0.01601 (0.00000)</t>
  </si>
  <si>
    <t>truA</t>
  </si>
  <si>
    <t>152937-153677</t>
  </si>
  <si>
    <t>tRNA pseudouridine synthase A</t>
  </si>
  <si>
    <t>0.08999 (0.06385)</t>
  </si>
  <si>
    <t>0.13445 (0.07386)</t>
  </si>
  <si>
    <t>rplM</t>
  </si>
  <si>
    <t>153842-154276</t>
  </si>
  <si>
    <t>50S ribosomal protein L13</t>
  </si>
  <si>
    <t>rpsI</t>
  </si>
  <si>
    <t>154300-154689</t>
  </si>
  <si>
    <t>30S ribosomal protein S9</t>
  </si>
  <si>
    <t>0.14715 (0.16573)</t>
  </si>
  <si>
    <t>ybaK</t>
  </si>
  <si>
    <t>156109-156549</t>
  </si>
  <si>
    <t>0.11592 (0.02175)</t>
  </si>
  <si>
    <t>0.05405 (0.05061)</t>
  </si>
  <si>
    <t>gerD</t>
  </si>
  <si>
    <t>158518-159072</t>
  </si>
  <si>
    <t>spore germination protein GerD</t>
  </si>
  <si>
    <t>0.04721 (0.05672)</t>
  </si>
  <si>
    <t>0.07804 (0.00000)</t>
  </si>
  <si>
    <t>kbaA</t>
  </si>
  <si>
    <t>159182-159775</t>
  </si>
  <si>
    <t>kinB-signaling pathway activation protein</t>
  </si>
  <si>
    <t>0.02168 (0.03378)</t>
  </si>
  <si>
    <t>0.03535 (0.00000)</t>
  </si>
  <si>
    <t>feuA</t>
  </si>
  <si>
    <t>182373-183323</t>
  </si>
  <si>
    <t>iron-uptake system-binding protein</t>
  </si>
  <si>
    <t>0.04603 (0.05326)</t>
  </si>
  <si>
    <t>sigW</t>
  </si>
  <si>
    <t>194849-195409</t>
  </si>
  <si>
    <t>RNA polymerase sigma factor SigW</t>
  </si>
  <si>
    <t>0.04662 (0.03645)</t>
  </si>
  <si>
    <t>rsiW</t>
  </si>
  <si>
    <t>195426-196049</t>
  </si>
  <si>
    <t>anti-sigma-W factor RsiW</t>
  </si>
  <si>
    <t>0.04656 (0.04100)</t>
  </si>
  <si>
    <t>0.10885 (0.08370)</t>
  </si>
  <si>
    <t>ybbP</t>
  </si>
  <si>
    <t>196213-197031</t>
  </si>
  <si>
    <t>glmM</t>
  </si>
  <si>
    <t>198497-199840</t>
  </si>
  <si>
    <t>phosphoglucosamine mutase</t>
  </si>
  <si>
    <t>0.00375 (0.00942)</t>
  </si>
  <si>
    <t>glmS</t>
  </si>
  <si>
    <t>200277-202076</t>
  </si>
  <si>
    <t>glutamine--fructose-6-phosphateaminotransferase</t>
  </si>
  <si>
    <t>0.01913 (0.00953)</t>
  </si>
  <si>
    <t>0.02401 (0.02612)</t>
  </si>
  <si>
    <t>ybcI</t>
  </si>
  <si>
    <t>210572-210943</t>
  </si>
  <si>
    <t>ybzH</t>
  </si>
  <si>
    <t>211429-211728</t>
  </si>
  <si>
    <t>ArsR family transcriptional regulator</t>
  </si>
  <si>
    <t>0.07970 (0.04913)</t>
  </si>
  <si>
    <t>ybcL</t>
  </si>
  <si>
    <t>211859-213028</t>
  </si>
  <si>
    <t>MFS transporter</t>
  </si>
  <si>
    <t>0.08179 (0.02206)</t>
  </si>
  <si>
    <t>0.05889 (0.00000)</t>
  </si>
  <si>
    <t>csgA</t>
  </si>
  <si>
    <t>228066-228311</t>
  </si>
  <si>
    <t>sigma-G-dependent sporulation-specific SASPprotein</t>
  </si>
  <si>
    <t>0.11896 (0.04082)</t>
  </si>
  <si>
    <t>0.05776 (0.00000)</t>
  </si>
  <si>
    <t>ybxH</t>
  </si>
  <si>
    <t>228331-228519</t>
  </si>
  <si>
    <t>0.09513 (0.08512)</t>
  </si>
  <si>
    <t>0.11535 (0.00000)</t>
  </si>
  <si>
    <t>ybyB</t>
  </si>
  <si>
    <t>230822-231079</t>
  </si>
  <si>
    <t>0.08562 (0.12487)</t>
  </si>
  <si>
    <t>ybfQ</t>
  </si>
  <si>
    <t>252514-253479</t>
  </si>
  <si>
    <t>0.01501 (0.02783)</t>
  </si>
  <si>
    <t>0.05418 (0.06717)</t>
  </si>
  <si>
    <t>ybgA</t>
  </si>
  <si>
    <t>257791-258495</t>
  </si>
  <si>
    <t>GntR family transcriptional regulator</t>
  </si>
  <si>
    <t>ycbP</t>
  </si>
  <si>
    <t>281772-282155</t>
  </si>
  <si>
    <t>0.02532 (0.04020)</t>
  </si>
  <si>
    <t>0.05353 (0.05396)</t>
  </si>
  <si>
    <t>cwlJ</t>
  </si>
  <si>
    <t>282469-282894</t>
  </si>
  <si>
    <t>cell wall hydrolase CwlJ</t>
  </si>
  <si>
    <t>0.07650 (0.04052)</t>
  </si>
  <si>
    <t>tatAD</t>
  </si>
  <si>
    <t>285775-285984</t>
  </si>
  <si>
    <t>Sec-independent protein translocase proteinTatAd</t>
  </si>
  <si>
    <t>natA</t>
  </si>
  <si>
    <t>296429-297166</t>
  </si>
  <si>
    <t>ABC transporter ATP-binding protein</t>
  </si>
  <si>
    <t>0.17110 (0.15908)</t>
  </si>
  <si>
    <t>natB</t>
  </si>
  <si>
    <t>297170-298327</t>
  </si>
  <si>
    <t>sodium efflux ABC transporter permease NatB</t>
  </si>
  <si>
    <t>0.10995 (0.12683)</t>
  </si>
  <si>
    <t>0.11854 (0.00000)</t>
  </si>
  <si>
    <t>yceE</t>
  </si>
  <si>
    <t>313396-313971</t>
  </si>
  <si>
    <t>0.02171 (0.04079)</t>
  </si>
  <si>
    <t>0.01834 (0.01788)</t>
  </si>
  <si>
    <t>yceF</t>
  </si>
  <si>
    <t>314025-314795</t>
  </si>
  <si>
    <t>0.06168 (0.11380)</t>
  </si>
  <si>
    <t>yceH</t>
  </si>
  <si>
    <t>316512-317600</t>
  </si>
  <si>
    <t>0.01188 (0.02513)</t>
  </si>
  <si>
    <t>yceK</t>
  </si>
  <si>
    <t>320424-320723</t>
  </si>
  <si>
    <t>opuAB</t>
  </si>
  <si>
    <t>322271-323116</t>
  </si>
  <si>
    <t>glycine betaine transport system permeaseprotein OpuAB</t>
  </si>
  <si>
    <t>0.04059 (0.02214)</t>
  </si>
  <si>
    <t>0.03394 (0.02744)</t>
  </si>
  <si>
    <t>ldh</t>
  </si>
  <si>
    <t>329774-330736</t>
  </si>
  <si>
    <t>L-lactate dehydrogenase</t>
  </si>
  <si>
    <t>mdr</t>
  </si>
  <si>
    <t>332444-333979</t>
  </si>
  <si>
    <t>multidrug resistance protein</t>
  </si>
  <si>
    <t>aroK</t>
  </si>
  <si>
    <t>340025-340582</t>
  </si>
  <si>
    <t>shikimate kinase</t>
  </si>
  <si>
    <t>0.06797 (0.06545)</t>
  </si>
  <si>
    <t>ycgM</t>
  </si>
  <si>
    <t>344551-345459</t>
  </si>
  <si>
    <t>proline dehydrogenase 2</t>
  </si>
  <si>
    <t>0.06166 (0.05556)</t>
  </si>
  <si>
    <t>0.12421 (0.01565)</t>
  </si>
  <si>
    <t>ycgP</t>
  </si>
  <si>
    <t>348724-349956</t>
  </si>
  <si>
    <t>0.03074 (0.03970)</t>
  </si>
  <si>
    <t>ycgQ</t>
  </si>
  <si>
    <t>349999-350853</t>
  </si>
  <si>
    <t>0.05111 (0.02914)</t>
  </si>
  <si>
    <t>0.06157 (0.06745)</t>
  </si>
  <si>
    <t>nasE</t>
  </si>
  <si>
    <t>355415-355732</t>
  </si>
  <si>
    <t>assimilatory nitrite reductase [NAD(P)H] smallsubunit</t>
  </si>
  <si>
    <t>0.04017 (0.07411)</t>
  </si>
  <si>
    <t>0.07603 (0.05376)</t>
  </si>
  <si>
    <t>nasD</t>
  </si>
  <si>
    <t>355767-358181</t>
  </si>
  <si>
    <t>nitrite reductase</t>
  </si>
  <si>
    <t>0.04498 (0.02444)</t>
  </si>
  <si>
    <t>0.05998 (0.00000)</t>
  </si>
  <si>
    <t>hxlR</t>
  </si>
  <si>
    <t>376032-376391</t>
  </si>
  <si>
    <t>HxlR family transcriptional regulator</t>
  </si>
  <si>
    <t>0.04932 (0.03692)</t>
  </si>
  <si>
    <t>0.18692 (0.00000)</t>
  </si>
  <si>
    <t>comS</t>
  </si>
  <si>
    <t>390880-391017</t>
  </si>
  <si>
    <t>competence protein S</t>
  </si>
  <si>
    <t>0.57651 (0.83212)</t>
  </si>
  <si>
    <t>yczE</t>
  </si>
  <si>
    <t>408243-408887</t>
  </si>
  <si>
    <t>0.10713 (0.11333)</t>
  </si>
  <si>
    <t>tcyC</t>
  </si>
  <si>
    <t>409211-409951</t>
  </si>
  <si>
    <t>L-cystine import ATP-binding protein TcyC</t>
  </si>
  <si>
    <t>0.06618 (0.03776)</t>
  </si>
  <si>
    <t>0.02750 (0.03227)</t>
  </si>
  <si>
    <t>tcyB</t>
  </si>
  <si>
    <t>409968-410669</t>
  </si>
  <si>
    <t>L-cystine transport system permease proteinTcyB</t>
  </si>
  <si>
    <t>0.11130 (0.07571)</t>
  </si>
  <si>
    <t>0.06526 (0.02995)</t>
  </si>
  <si>
    <t>yclB</t>
  </si>
  <si>
    <t>412540-413151</t>
  </si>
  <si>
    <t>phenolic acid decarboxylase subunit B</t>
  </si>
  <si>
    <t>0.05530 (0.03475)</t>
  </si>
  <si>
    <t>0.30175 (0.00000)</t>
  </si>
  <si>
    <t>yclJ</t>
  </si>
  <si>
    <t>426577-427257</t>
  </si>
  <si>
    <t>transcriptional regulator</t>
  </si>
  <si>
    <t>0.04965 (0.06987)</t>
  </si>
  <si>
    <t>rapC</t>
  </si>
  <si>
    <t>428831-429976</t>
  </si>
  <si>
    <t>response regulator aspartate phosphatase C</t>
  </si>
  <si>
    <t>0.03889 (0.00771)</t>
  </si>
  <si>
    <t>0.05144 (0.06427)</t>
  </si>
  <si>
    <t>phrC</t>
  </si>
  <si>
    <t>429963-430082</t>
  </si>
  <si>
    <t>phosphatase RapC inhibitor</t>
  </si>
  <si>
    <t>yclN</t>
  </si>
  <si>
    <t>432372-433319</t>
  </si>
  <si>
    <t>ABC transporter permease</t>
  </si>
  <si>
    <t>0.04096 (0.02233)</t>
  </si>
  <si>
    <t>0.03899 (0.04892)</t>
  </si>
  <si>
    <t>yclO</t>
  </si>
  <si>
    <t>433315-434259</t>
  </si>
  <si>
    <t>0.04615 (0.04142)</t>
  </si>
  <si>
    <t>0.05823 (0.07644)</t>
  </si>
  <si>
    <t>ycnC</t>
  </si>
  <si>
    <t>437477-438352</t>
  </si>
  <si>
    <t>TetR family transcriptional regulator</t>
  </si>
  <si>
    <t>0.11395 (0.03812)</t>
  </si>
  <si>
    <t>0.05029 (0.02841)</t>
  </si>
  <si>
    <t>ycnE</t>
  </si>
  <si>
    <t>439285-439569</t>
  </si>
  <si>
    <t>monooxygenase YcnE</t>
  </si>
  <si>
    <t>0.05155 (0.06945)</t>
  </si>
  <si>
    <t>0.02996 (0.00000)</t>
  </si>
  <si>
    <t>ycsF</t>
  </si>
  <si>
    <t>457023-457793</t>
  </si>
  <si>
    <t>0.06463 (0.06442)</t>
  </si>
  <si>
    <t>yczI</t>
  </si>
  <si>
    <t>463245-463487</t>
  </si>
  <si>
    <t>yczJ</t>
  </si>
  <si>
    <t>463499-463783</t>
  </si>
  <si>
    <t>0.03267 (0.06198)</t>
  </si>
  <si>
    <t>0.05236 (0.05084)</t>
  </si>
  <si>
    <t>ydaG</t>
  </si>
  <si>
    <t>473803-474222</t>
  </si>
  <si>
    <t>general stress protein 26</t>
  </si>
  <si>
    <t>0.06472 (0.05848)</t>
  </si>
  <si>
    <t>ydzA</t>
  </si>
  <si>
    <t>475587-475874</t>
  </si>
  <si>
    <t>0.18921 (0.11651)</t>
  </si>
  <si>
    <t>lrpC</t>
  </si>
  <si>
    <t>476059-476490</t>
  </si>
  <si>
    <t>AsnC family transcriptional regulator</t>
  </si>
  <si>
    <t>0.12333 (0.08964)</t>
  </si>
  <si>
    <t>ydaM</t>
  </si>
  <si>
    <t>482577-483836</t>
  </si>
  <si>
    <t>glycosyltransferase YdaM</t>
  </si>
  <si>
    <t>gsiB</t>
  </si>
  <si>
    <t>494506-494874</t>
  </si>
  <si>
    <t>glucose starvation-inducible protein B</t>
  </si>
  <si>
    <t>0.06883 (0.02042)</t>
  </si>
  <si>
    <t>0.03159 (0.02282)</t>
  </si>
  <si>
    <t>dctP</t>
  </si>
  <si>
    <t>500166-501428</t>
  </si>
  <si>
    <t>C4-dicarboxylate transport protein</t>
  </si>
  <si>
    <t>0.02702 (0.01163)</t>
  </si>
  <si>
    <t>0.02186 (0.02339)</t>
  </si>
  <si>
    <t>ydbL</t>
  </si>
  <si>
    <t>504689-505021</t>
  </si>
  <si>
    <t>0.03474 (0.05635)</t>
  </si>
  <si>
    <t>0.04303 (0.00000)</t>
  </si>
  <si>
    <t>ydbN</t>
  </si>
  <si>
    <t>506325-506501</t>
  </si>
  <si>
    <t>0.58672 (0.26301)</t>
  </si>
  <si>
    <t>ydbP</t>
  </si>
  <si>
    <t>507756-508073</t>
  </si>
  <si>
    <t>thioredoxin</t>
  </si>
  <si>
    <t>0.02215 (0.02173)</t>
  </si>
  <si>
    <t>ddl</t>
  </si>
  <si>
    <t>508248-509309</t>
  </si>
  <si>
    <t>D-alanine--D-alanine ligase</t>
  </si>
  <si>
    <t>0.04973 (0.04180)</t>
  </si>
  <si>
    <t>0.02584 (0.02224)</t>
  </si>
  <si>
    <t>cshA</t>
  </si>
  <si>
    <t>511106-512638</t>
  </si>
  <si>
    <t>ATP-dependent RNA helicase</t>
  </si>
  <si>
    <t>0.01864 (0.02184)</t>
  </si>
  <si>
    <t>0.02659 (0.00000)</t>
  </si>
  <si>
    <t>endB</t>
  </si>
  <si>
    <t>518657-518935</t>
  </si>
  <si>
    <t>antitoxin EndoAI</t>
  </si>
  <si>
    <t>ndoA</t>
  </si>
  <si>
    <t>518943-519290</t>
  </si>
  <si>
    <t>mRNA interferase EndoA</t>
  </si>
  <si>
    <t>rsbT</t>
  </si>
  <si>
    <t>520606-521004</t>
  </si>
  <si>
    <t>serine/threonine protein kinase</t>
  </si>
  <si>
    <t>rsbU</t>
  </si>
  <si>
    <t>521019-522023</t>
  </si>
  <si>
    <t>phosphoserine phosphatase RsbU</t>
  </si>
  <si>
    <t>0.01768 (0.01160)</t>
  </si>
  <si>
    <t>0.02197 (0.00410)</t>
  </si>
  <si>
    <t>rsbV</t>
  </si>
  <si>
    <t>522088-522414</t>
  </si>
  <si>
    <t>anti-sigma-B factor antagonist</t>
  </si>
  <si>
    <t>rsbW</t>
  </si>
  <si>
    <t>522414-522893</t>
  </si>
  <si>
    <t>serine-protein kinase RsbW</t>
  </si>
  <si>
    <t>sigB</t>
  </si>
  <si>
    <t>522862-523647</t>
  </si>
  <si>
    <t>RNA polymerase sigma-B factor</t>
  </si>
  <si>
    <t>0.03592 (0.09116)</t>
  </si>
  <si>
    <t>rsbX</t>
  </si>
  <si>
    <t>523650-524246</t>
  </si>
  <si>
    <t>phosphoserine phosphatase RsbX</t>
  </si>
  <si>
    <t>0.04043 (0.05025)</t>
  </si>
  <si>
    <t>0.14545 (0.00000)</t>
  </si>
  <si>
    <t>ydcK</t>
  </si>
  <si>
    <t>528129-528578</t>
  </si>
  <si>
    <t>protein SprT-like</t>
  </si>
  <si>
    <t>0.08981 (0.02803)</t>
  </si>
  <si>
    <t>cspC</t>
  </si>
  <si>
    <t>559264-559461</t>
  </si>
  <si>
    <t>cold shock protein CspC</t>
  </si>
  <si>
    <t>0.12643 (0.15559)</t>
  </si>
  <si>
    <t>0.08175 (0.00000)</t>
  </si>
  <si>
    <t>ydeE</t>
  </si>
  <si>
    <t>563617-564486</t>
  </si>
  <si>
    <t>AraC family transcriptional regulator</t>
  </si>
  <si>
    <t>0.18948 (0.09946)</t>
  </si>
  <si>
    <t>0.14082 (0.00000)</t>
  </si>
  <si>
    <t>ydeN</t>
  </si>
  <si>
    <t>573455-574024</t>
  </si>
  <si>
    <t>hydrolase</t>
  </si>
  <si>
    <t>0.24821 (0.09763)</t>
  </si>
  <si>
    <t>0.21488 (0.00000)</t>
  </si>
  <si>
    <t>ydzF</t>
  </si>
  <si>
    <t>574109-574435</t>
  </si>
  <si>
    <t>0.65409 (1.04725)</t>
  </si>
  <si>
    <t>0.26825 (0.00000)</t>
  </si>
  <si>
    <t>ydgI</t>
  </si>
  <si>
    <t>612194-612820</t>
  </si>
  <si>
    <t>NAD(P)H nitroreductase YdgI</t>
  </si>
  <si>
    <t>0.00970 (0.02031)</t>
  </si>
  <si>
    <t>0.30234 (0.00000)</t>
  </si>
  <si>
    <t>ydgJ</t>
  </si>
  <si>
    <t>612839-613330</t>
  </si>
  <si>
    <t>MarR family transcriptional regulator</t>
  </si>
  <si>
    <t>0.25310 (0.17180)</t>
  </si>
  <si>
    <t>0.07478 (0.01745)</t>
  </si>
  <si>
    <t>pbuE</t>
  </si>
  <si>
    <t>625128-626291</t>
  </si>
  <si>
    <t>purine efflux pump PbuE</t>
  </si>
  <si>
    <t>0.04430 (0.01231)</t>
  </si>
  <si>
    <t>0.02274 (0.03007)</t>
  </si>
  <si>
    <t>gmuR</t>
  </si>
  <si>
    <t>630170-630880</t>
  </si>
  <si>
    <t>0.05529 (0.01881)</t>
  </si>
  <si>
    <t>0.05549 (0.00000)</t>
  </si>
  <si>
    <t>rimI</t>
  </si>
  <si>
    <t>642810-643262</t>
  </si>
  <si>
    <t>ribosomal-protein-alanine acetyltransferase</t>
  </si>
  <si>
    <t>0.06441 (0.03748)</t>
  </si>
  <si>
    <t>0.10304 (0.08100)</t>
  </si>
  <si>
    <t>moaC</t>
  </si>
  <si>
    <t>646582-647091</t>
  </si>
  <si>
    <t>cyclic pyranopterin monophosphate synthaseaccessory protein</t>
  </si>
  <si>
    <t>0.03532 (0.03326)</t>
  </si>
  <si>
    <t>ydiH</t>
  </si>
  <si>
    <t>647091-647735</t>
  </si>
  <si>
    <t>redox-sensing transcriptional repressor rex</t>
  </si>
  <si>
    <t>0.02698 (0.03206)</t>
  </si>
  <si>
    <t>tatAY</t>
  </si>
  <si>
    <t>647760-647930</t>
  </si>
  <si>
    <t>Sec-independent protein translocase proteinTatAy</t>
  </si>
  <si>
    <t>0.04703 (0.03732)</t>
  </si>
  <si>
    <t>ydiK</t>
  </si>
  <si>
    <t>648745-648933</t>
  </si>
  <si>
    <t>lipoprotein</t>
  </si>
  <si>
    <t>groES</t>
  </si>
  <si>
    <t>649903-650184</t>
  </si>
  <si>
    <t>groEL</t>
  </si>
  <si>
    <t>650234-651865</t>
  </si>
  <si>
    <t>0.00616 (0.01139)</t>
  </si>
  <si>
    <t>0.05769 (0.04388)</t>
  </si>
  <si>
    <t>ydjM</t>
  </si>
  <si>
    <t>679390-679758</t>
  </si>
  <si>
    <t>0.03146 (0.03610)</t>
  </si>
  <si>
    <t>guaA</t>
  </si>
  <si>
    <t>692740-694278</t>
  </si>
  <si>
    <t>GMP synthase</t>
  </si>
  <si>
    <t>0.05849 (0.02769)</t>
  </si>
  <si>
    <t>0.03190 (0.03613)</t>
  </si>
  <si>
    <t>yebD</t>
  </si>
  <si>
    <t>697157-697321</t>
  </si>
  <si>
    <t>0.02751 (0.05546)</t>
  </si>
  <si>
    <t>yebE</t>
  </si>
  <si>
    <t>697538-698089</t>
  </si>
  <si>
    <t>0.04223 (0.01315)</t>
  </si>
  <si>
    <t>0.07869 (0.05925)</t>
  </si>
  <si>
    <t>yebG</t>
  </si>
  <si>
    <t>698092-698286</t>
  </si>
  <si>
    <t>0.03914 (0.06573)</t>
  </si>
  <si>
    <t>purE</t>
  </si>
  <si>
    <t>698612-699097</t>
  </si>
  <si>
    <t>5-(carboxyamino)imidazole ribonucleotide mutase</t>
  </si>
  <si>
    <t>0.08006 (0.04513)</t>
  </si>
  <si>
    <t>0.06015 (0.07519)</t>
  </si>
  <si>
    <t>purK</t>
  </si>
  <si>
    <t>699093-700232</t>
  </si>
  <si>
    <t>5-(carboxyamino)imidazole ribonucleotidesynthase</t>
  </si>
  <si>
    <t>0.15405 (0.08852)</t>
  </si>
  <si>
    <t>0.05735 (0.00000)</t>
  </si>
  <si>
    <t>purB</t>
  </si>
  <si>
    <t>700232-701524</t>
  </si>
  <si>
    <t>adenylosuccinate lyase</t>
  </si>
  <si>
    <t>0.01947 (0.01717)</t>
  </si>
  <si>
    <t>0.01213 (0.00243)</t>
  </si>
  <si>
    <t>purC</t>
  </si>
  <si>
    <t>701601-702323</t>
  </si>
  <si>
    <t>phosphoribosylaminoimidazole-succinocarboxamidesynthase</t>
  </si>
  <si>
    <t>0.07073 (0.02910)</t>
  </si>
  <si>
    <t>0.05462 (0.00000)</t>
  </si>
  <si>
    <t>purS</t>
  </si>
  <si>
    <t>702319-702570</t>
  </si>
  <si>
    <t>0.03878 (0.06272)</t>
  </si>
  <si>
    <t>purQ</t>
  </si>
  <si>
    <t>702570-703250</t>
  </si>
  <si>
    <t>phosphoribosylformylglycinamidine synthase</t>
  </si>
  <si>
    <t>0.05403 (0.03182)</t>
  </si>
  <si>
    <t>0.02818 (0.02080)</t>
  </si>
  <si>
    <t>yerA</t>
  </si>
  <si>
    <t>713664-715403</t>
  </si>
  <si>
    <t>adenine deaminase YerA</t>
  </si>
  <si>
    <t>0.03465 (0.03699)</t>
  </si>
  <si>
    <t>yerB</t>
  </si>
  <si>
    <t>715433-716425</t>
  </si>
  <si>
    <t>0.09348 (0.15266)</t>
  </si>
  <si>
    <t>0.49169 (0.00000)</t>
  </si>
  <si>
    <t>yerC</t>
  </si>
  <si>
    <t>716431-716742</t>
  </si>
  <si>
    <t>gatC</t>
  </si>
  <si>
    <t>728732-729019</t>
  </si>
  <si>
    <t>glutamyl-tRNA(Gln) amidotransferase subunit C</t>
  </si>
  <si>
    <t>gatA</t>
  </si>
  <si>
    <t>729038-730492</t>
  </si>
  <si>
    <t>glutamyl-tRNA(Gln) amidotransferase subunit A</t>
  </si>
  <si>
    <t>0.01703 (0.01413)</t>
  </si>
  <si>
    <t>0.00759 (0.00933)</t>
  </si>
  <si>
    <t>gatB</t>
  </si>
  <si>
    <t>730509-731936</t>
  </si>
  <si>
    <t>aspartyl/glutamyl-tRNA amidotransferase subunitB</t>
  </si>
  <si>
    <t>0.00617 (0.01154)</t>
  </si>
  <si>
    <t>yerQ</t>
  </si>
  <si>
    <t>736436-737344</t>
  </si>
  <si>
    <t>diacylglycerol kinase</t>
  </si>
  <si>
    <t>0.00522 (0.00973)</t>
  </si>
  <si>
    <t>0.07112 (0.06530)</t>
  </si>
  <si>
    <t>cotJA</t>
  </si>
  <si>
    <t>755907-756152</t>
  </si>
  <si>
    <t>spore coat associated protein CotJA</t>
  </si>
  <si>
    <t>cotJB</t>
  </si>
  <si>
    <t>756139-756399</t>
  </si>
  <si>
    <t>spore coat protein CotJB</t>
  </si>
  <si>
    <t>cotJC</t>
  </si>
  <si>
    <t>756417-756983</t>
  </si>
  <si>
    <t>spore coat peptide assembly protein CotJC</t>
  </si>
  <si>
    <t>0.02891 (0.03368)</t>
  </si>
  <si>
    <t>yesP</t>
  </si>
  <si>
    <t>762942-763868</t>
  </si>
  <si>
    <t>0.05612 (0.13887)</t>
  </si>
  <si>
    <t>yesY</t>
  </si>
  <si>
    <t>774138-774788</t>
  </si>
  <si>
    <t>rhamnogalacturonan acetylesterase YesY</t>
  </si>
  <si>
    <t>0.08672 (0.02959)</t>
  </si>
  <si>
    <t>0.01293 (0.01097)</t>
  </si>
  <si>
    <t>lplA</t>
  </si>
  <si>
    <t>779529-781034</t>
  </si>
  <si>
    <t>0.09251 (0.03455)</t>
  </si>
  <si>
    <t>0.08403 (0.05483)</t>
  </si>
  <si>
    <t>lplB</t>
  </si>
  <si>
    <t>781092-782045</t>
  </si>
  <si>
    <t>ABC transporter permease LplB</t>
  </si>
  <si>
    <t>0.02930 (0.02902)</t>
  </si>
  <si>
    <t>0.05777 (0.00000)</t>
  </si>
  <si>
    <t>lplC</t>
  </si>
  <si>
    <t>782062-782946</t>
  </si>
  <si>
    <t>ABC transporter permease LplC</t>
  </si>
  <si>
    <t>0.01116 (0.02283)</t>
  </si>
  <si>
    <t>yezD</t>
  </si>
  <si>
    <t>787715-787879</t>
  </si>
  <si>
    <t>0.06897 (0.03910)</t>
  </si>
  <si>
    <t>0.28274 (0.00000)</t>
  </si>
  <si>
    <t>yfnH</t>
  </si>
  <si>
    <t>798469-799230</t>
  </si>
  <si>
    <t>glucose-1-phosphate cytidylyltransferase</t>
  </si>
  <si>
    <t>0.06130 (0.02666)</t>
  </si>
  <si>
    <t>0.06988 (0.00000)</t>
  </si>
  <si>
    <t>yfmP</t>
  </si>
  <si>
    <t>812140-812559</t>
  </si>
  <si>
    <t>MerR family transcriptional regulator</t>
  </si>
  <si>
    <t>0.07481 (0.12680)</t>
  </si>
  <si>
    <t>0.05121 (0.00000)</t>
  </si>
  <si>
    <t>yfmC</t>
  </si>
  <si>
    <t>825790-826734</t>
  </si>
  <si>
    <t>Fe(3+)-citrate-binding protein YfmC</t>
  </si>
  <si>
    <t>0.08195 (0.09033)</t>
  </si>
  <si>
    <t>0.27730 (0.00000)</t>
  </si>
  <si>
    <t>yflS</t>
  </si>
  <si>
    <t>829382-830815</t>
  </si>
  <si>
    <t>malate transporter YflS</t>
  </si>
  <si>
    <t>0.04826 (0.04002)</t>
  </si>
  <si>
    <t>0.04129 (0.00000)</t>
  </si>
  <si>
    <t>citM</t>
  </si>
  <si>
    <t>834383-835681</t>
  </si>
  <si>
    <t>Mg(2+)/citrate complex secondary transporter</t>
  </si>
  <si>
    <t>0.02087 (0.02123)</t>
  </si>
  <si>
    <t>yflJ</t>
  </si>
  <si>
    <t>838786-838920</t>
  </si>
  <si>
    <t>yflI</t>
  </si>
  <si>
    <t>839080-839232</t>
  </si>
  <si>
    <t>yflG</t>
  </si>
  <si>
    <t>839738-840484</t>
  </si>
  <si>
    <t>methionine aminopeptidase 2</t>
  </si>
  <si>
    <t>0.01124 (0.01473)</t>
  </si>
  <si>
    <t>yflE</t>
  </si>
  <si>
    <t>842050-843996</t>
  </si>
  <si>
    <t>lipoteichoic acid synthase</t>
  </si>
  <si>
    <t>0.04129 (0.02273)</t>
  </si>
  <si>
    <t>0.06734 (0.07832)</t>
  </si>
  <si>
    <t>yfjT</t>
  </si>
  <si>
    <t>869273-869455</t>
  </si>
  <si>
    <t>yfzA</t>
  </si>
  <si>
    <t>875428-875691</t>
  </si>
  <si>
    <t>0.53351 (0.65494)</t>
  </si>
  <si>
    <t>yfjA</t>
  </si>
  <si>
    <t>889375-889686</t>
  </si>
  <si>
    <t>0.10170 (0.13945)</t>
  </si>
  <si>
    <t>malR</t>
  </si>
  <si>
    <t>891436-892197</t>
  </si>
  <si>
    <t>RpiR family transcriptional regulator</t>
  </si>
  <si>
    <t>0.07005 (0.02507)</t>
  </si>
  <si>
    <t>0.11918 (0.00000)</t>
  </si>
  <si>
    <t>yfhD</t>
  </si>
  <si>
    <t>924213-924401</t>
  </si>
  <si>
    <t>0.12671 (0.18289)</t>
  </si>
  <si>
    <t>0.04686 (0.00000)</t>
  </si>
  <si>
    <t>yfhE</t>
  </si>
  <si>
    <t>924471-924578</t>
  </si>
  <si>
    <t>sspK</t>
  </si>
  <si>
    <t>928115-928264</t>
  </si>
  <si>
    <t>small acid-soluble spore protein K</t>
  </si>
  <si>
    <t>0.05989 (0.05372)</t>
  </si>
  <si>
    <t>yfhP</t>
  </si>
  <si>
    <t>934460-935440</t>
  </si>
  <si>
    <t>0.02519 (0.01617)</t>
  </si>
  <si>
    <t>yfhS</t>
  </si>
  <si>
    <t>936776-936997</t>
  </si>
  <si>
    <t>0.08177 (0.12622)</t>
  </si>
  <si>
    <t>0.05906 (0.00000)</t>
  </si>
  <si>
    <t>ygaB</t>
  </si>
  <si>
    <t>938243-938584</t>
  </si>
  <si>
    <t>0.15656 (0.16031)</t>
  </si>
  <si>
    <t>ygaC</t>
  </si>
  <si>
    <t>938731-939258</t>
  </si>
  <si>
    <t>ygaE</t>
  </si>
  <si>
    <t>941171-942229</t>
  </si>
  <si>
    <t>0.02062 (0.03326)</t>
  </si>
  <si>
    <t>0.05661 (0.06198)</t>
  </si>
  <si>
    <t>perR</t>
  </si>
  <si>
    <t>944487-944921</t>
  </si>
  <si>
    <t>peroxide operon regulator</t>
  </si>
  <si>
    <t>ygzB</t>
  </si>
  <si>
    <t>944962-945312</t>
  </si>
  <si>
    <t>0.03610 (0.06427)</t>
  </si>
  <si>
    <t>ygzA</t>
  </si>
  <si>
    <t>954291-954491</t>
  </si>
  <si>
    <t>katA</t>
  </si>
  <si>
    <t>959538-960986</t>
  </si>
  <si>
    <t>vegetative catalase</t>
  </si>
  <si>
    <t>0.01214 (0.00826)</t>
  </si>
  <si>
    <t>0.02371 (0.02975)</t>
  </si>
  <si>
    <t>965909-966175</t>
  </si>
  <si>
    <t>0.16756 (0.07259)</t>
  </si>
  <si>
    <t>0.07485 (0.00000)</t>
  </si>
  <si>
    <t>ygzD</t>
  </si>
  <si>
    <t>966674-966871</t>
  </si>
  <si>
    <t>0.11149 (0.06278)</t>
  </si>
  <si>
    <t>cspR</t>
  </si>
  <si>
    <t>970135-970614</t>
  </si>
  <si>
    <t>tRNA (cytidine(34)-2'-O)-methyltransferase</t>
  </si>
  <si>
    <t>0.05306 (0.10590)</t>
  </si>
  <si>
    <t>0.04208 (0.00000)</t>
  </si>
  <si>
    <t>prkA</t>
  </si>
  <si>
    <t>973156-975048</t>
  </si>
  <si>
    <t>serine protein kinase PrkA</t>
  </si>
  <si>
    <t>0.01014 (0.00717)</t>
  </si>
  <si>
    <t>yhbH</t>
  </si>
  <si>
    <t>975231-976406</t>
  </si>
  <si>
    <t>stress response UPF0229 protein YhbH</t>
  </si>
  <si>
    <t>0.01327 (0.02700)</t>
  </si>
  <si>
    <t>yhcC</t>
  </si>
  <si>
    <t>979939-980310</t>
  </si>
  <si>
    <t>0.14771 (0.05661)</t>
  </si>
  <si>
    <t>0.20576 (0.00000)</t>
  </si>
  <si>
    <t>yhcE</t>
  </si>
  <si>
    <t>980473-981231</t>
  </si>
  <si>
    <t>cspB</t>
  </si>
  <si>
    <t>984265-984465</t>
  </si>
  <si>
    <t>cold shock protein CspB</t>
  </si>
  <si>
    <t>yhcU</t>
  </si>
  <si>
    <t>996643-997035</t>
  </si>
  <si>
    <t>0.52261 (0.26297)</t>
  </si>
  <si>
    <t>0.25803 (0.00000)</t>
  </si>
  <si>
    <t>yhcV</t>
  </si>
  <si>
    <t>997175-997594</t>
  </si>
  <si>
    <t>CBS domain-containing protein YhcV</t>
  </si>
  <si>
    <t>yhcX</t>
  </si>
  <si>
    <t>998402-999940</t>
  </si>
  <si>
    <t>0.01032 (0.01982)</t>
  </si>
  <si>
    <t>glpF</t>
  </si>
  <si>
    <t>1002501-1003322</t>
  </si>
  <si>
    <t>glycerol uptake facilitator protein</t>
  </si>
  <si>
    <t>0.01414 (0.02840)</t>
  </si>
  <si>
    <t>yhdB</t>
  </si>
  <si>
    <t>1010987-1011226</t>
  </si>
  <si>
    <t>yhdK</t>
  </si>
  <si>
    <t>1028236-1028523</t>
  </si>
  <si>
    <t>anti-sigma-M factor YhdK</t>
  </si>
  <si>
    <t>0.03900 (0.00000)</t>
  </si>
  <si>
    <t>sigM</t>
  </si>
  <si>
    <t>1029580-1030068</t>
  </si>
  <si>
    <t>RNA polymerase sigma factor SigM</t>
  </si>
  <si>
    <t>plsC</t>
  </si>
  <si>
    <t>1031395-1031991</t>
  </si>
  <si>
    <t>1-acyl-sn-glycerol-3-phosphate acyltransferase</t>
  </si>
  <si>
    <t>0.12158 (0.00000)</t>
  </si>
  <si>
    <t>yhdP</t>
  </si>
  <si>
    <t>1032066-1033397</t>
  </si>
  <si>
    <t>0.04839 (0.02253)</t>
  </si>
  <si>
    <t>0.03018 (0.03206)</t>
  </si>
  <si>
    <t>cueR</t>
  </si>
  <si>
    <t>1033461-1033889</t>
  </si>
  <si>
    <t>0.04947 (0.00000)</t>
  </si>
  <si>
    <t>yhdX</t>
  </si>
  <si>
    <t>1038653-1038757</t>
  </si>
  <si>
    <t>0.24641 (0.34848)</t>
  </si>
  <si>
    <t>yheF</t>
  </si>
  <si>
    <t>1049804-1049926</t>
  </si>
  <si>
    <t>sspB</t>
  </si>
  <si>
    <t>1050034-1050234</t>
  </si>
  <si>
    <t>small acid-soluble spore protein B</t>
  </si>
  <si>
    <t>0.10162 (0.15684)</t>
  </si>
  <si>
    <t>yheE</t>
  </si>
  <si>
    <t>1050446-1050661</t>
  </si>
  <si>
    <t>0.17131 (0.00000)</t>
  </si>
  <si>
    <t>yheA</t>
  </si>
  <si>
    <t>1054746-1055096</t>
  </si>
  <si>
    <t>0.03566 (0.05763)</t>
  </si>
  <si>
    <t>yhzE</t>
  </si>
  <si>
    <t>1071402-1071485</t>
  </si>
  <si>
    <t>yhaI</t>
  </si>
  <si>
    <t>1072768-1073106</t>
  </si>
  <si>
    <t>0.03741 (0.05728)</t>
  </si>
  <si>
    <t>0.26028 (0.00000)</t>
  </si>
  <si>
    <t>hpr</t>
  </si>
  <si>
    <t>1073109-1073717</t>
  </si>
  <si>
    <t>0.01942 (0.03931)</t>
  </si>
  <si>
    <t>0.02227 (0.02650)</t>
  </si>
  <si>
    <t>yhaH</t>
  </si>
  <si>
    <t>1073898-1074251</t>
  </si>
  <si>
    <t>0.10786 (0.12665)</t>
  </si>
  <si>
    <t>yhzF</t>
  </si>
  <si>
    <t>1074381-1074569</t>
  </si>
  <si>
    <t>0.14055 (0.10145)</t>
  </si>
  <si>
    <t>0.53468 (0.04255)</t>
  </si>
  <si>
    <t>ecsA</t>
  </si>
  <si>
    <t>1077440-1078180</t>
  </si>
  <si>
    <t>0.04487 (0.08595)</t>
  </si>
  <si>
    <t>hemE</t>
  </si>
  <si>
    <t>1086117-1087175</t>
  </si>
  <si>
    <t>uroporphyrinogen decarboxylase</t>
  </si>
  <si>
    <t>0.05121 (0.04574)</t>
  </si>
  <si>
    <t>0.10952 (0.00000)</t>
  </si>
  <si>
    <t>yhfH</t>
  </si>
  <si>
    <t>1098123-1098260</t>
  </si>
  <si>
    <t>0.07169 (0.00000)</t>
  </si>
  <si>
    <t>yhfI</t>
  </si>
  <si>
    <t>1098412-1099143</t>
  </si>
  <si>
    <t>0.07555 (0.14038)</t>
  </si>
  <si>
    <t>aprE</t>
  </si>
  <si>
    <t>1104426-1105568</t>
  </si>
  <si>
    <t>subtilisin E</t>
  </si>
  <si>
    <t>0.06934 (0.03772)</t>
  </si>
  <si>
    <t>0.06961 (0.00000)</t>
  </si>
  <si>
    <t>yhzC</t>
  </si>
  <si>
    <t>1116586-1116816</t>
  </si>
  <si>
    <t>0.77374 (0.60850)</t>
  </si>
  <si>
    <t>0.12348 (0.00000)</t>
  </si>
  <si>
    <t>yhjC</t>
  </si>
  <si>
    <t>1120631-1120828</t>
  </si>
  <si>
    <t>0.05038 (0.07848)</t>
  </si>
  <si>
    <t>yhjE</t>
  </si>
  <si>
    <t>1121550-1122170</t>
  </si>
  <si>
    <t>0.08808 (0.09398)</t>
  </si>
  <si>
    <t>0.05080 (0.05836)</t>
  </si>
  <si>
    <t>sipV</t>
  </si>
  <si>
    <t>1122175-1122678</t>
  </si>
  <si>
    <t>signal peptidase I V</t>
  </si>
  <si>
    <t>0.04394 (0.03204)</t>
  </si>
  <si>
    <t>0.06697 (0.00000)</t>
  </si>
  <si>
    <t>ntdC</t>
  </si>
  <si>
    <t>1126403-1127452</t>
  </si>
  <si>
    <t>NTD biosynthesis operon putative oxidoreductaseNtdC</t>
  </si>
  <si>
    <t>0.06422 (0.02738)</t>
  </si>
  <si>
    <t>0.12193 (0.10648)</t>
  </si>
  <si>
    <t>ntdA</t>
  </si>
  <si>
    <t>1128289-1129611</t>
  </si>
  <si>
    <t>3-oxo-glucose-6-phosphate--glutamateaminotransferase</t>
  </si>
  <si>
    <t>0.21470 (0.35569)</t>
  </si>
  <si>
    <t>yhjM</t>
  </si>
  <si>
    <t>1129715-1130701</t>
  </si>
  <si>
    <t>NTD biosynthesis operon regulator NtdR</t>
  </si>
  <si>
    <t>0.11665 (0.05643)</t>
  </si>
  <si>
    <t>0.12461 (0.09181)</t>
  </si>
  <si>
    <t>gerPF</t>
  </si>
  <si>
    <t>1148497-1148721</t>
  </si>
  <si>
    <t>spore germination protein</t>
  </si>
  <si>
    <t>gerPC</t>
  </si>
  <si>
    <t>1149321-1149935</t>
  </si>
  <si>
    <t>spore germination protein GerPC</t>
  </si>
  <si>
    <t>0.07265 (0.06838)</t>
  </si>
  <si>
    <t>yisK</t>
  </si>
  <si>
    <t>1152244-1153146</t>
  </si>
  <si>
    <t>0.06408 (0.09086)</t>
  </si>
  <si>
    <t>yisL</t>
  </si>
  <si>
    <t>1153265-1153618</t>
  </si>
  <si>
    <t>0.06546 (0.02896)</t>
  </si>
  <si>
    <t>0.19862 (0.19225)</t>
  </si>
  <si>
    <t>yisR</t>
  </si>
  <si>
    <t>1162267-1163127</t>
  </si>
  <si>
    <t>0.05040 (0.01671)</t>
  </si>
  <si>
    <t>0.02494 (0.00000)</t>
  </si>
  <si>
    <t>yitT</t>
  </si>
  <si>
    <t>1188689-1189528</t>
  </si>
  <si>
    <t>0.00989 (0.01512)</t>
  </si>
  <si>
    <t>0.03858 (0.00000)</t>
  </si>
  <si>
    <t>yizC</t>
  </si>
  <si>
    <t>1190039-1190233</t>
  </si>
  <si>
    <t>yjzD</t>
  </si>
  <si>
    <t>1204734-1204916</t>
  </si>
  <si>
    <t>0.28007 (0.39608)</t>
  </si>
  <si>
    <t>0.41688 (0.00000)</t>
  </si>
  <si>
    <t>comZ</t>
  </si>
  <si>
    <t>1207597-1207785</t>
  </si>
  <si>
    <t>ComG operon repressor</t>
  </si>
  <si>
    <t>appD</t>
  </si>
  <si>
    <t>1211477-1212460</t>
  </si>
  <si>
    <t>oligopeptide transport ATP-binding protein AppD</t>
  </si>
  <si>
    <t>0.04365 (0.02945)</t>
  </si>
  <si>
    <t>0.01699 (0.00000)</t>
  </si>
  <si>
    <t>yjbA</t>
  </si>
  <si>
    <t>1217326-1218075</t>
  </si>
  <si>
    <t>0.05165 (0.09538)</t>
  </si>
  <si>
    <t>0.01009 (0.01051)</t>
  </si>
  <si>
    <t>oppB</t>
  </si>
  <si>
    <t>1221594-1222526</t>
  </si>
  <si>
    <t>oligopeptide transport system permease proteinOppB</t>
  </si>
  <si>
    <t>0.01985 (0.04676)</t>
  </si>
  <si>
    <t>oppC</t>
  </si>
  <si>
    <t>1222533-1223447</t>
  </si>
  <si>
    <t>oligopeptide transport system permease proteinOppC</t>
  </si>
  <si>
    <t>0.01920 (0.01362)</t>
  </si>
  <si>
    <t>0.01372 (0.01106)</t>
  </si>
  <si>
    <t>oppD</t>
  </si>
  <si>
    <t>1223455-1224528</t>
  </si>
  <si>
    <t>oligopeptide transport ATP-binding protein OppD</t>
  </si>
  <si>
    <t>0.02159 (0.01700)</t>
  </si>
  <si>
    <t>0.03775 (0.00000)</t>
  </si>
  <si>
    <t>oppF</t>
  </si>
  <si>
    <t>1224533-1225447</t>
  </si>
  <si>
    <t>oligopeptide transport ATP-binding protein OppF</t>
  </si>
  <si>
    <t>0.01981 (0.03536)</t>
  </si>
  <si>
    <t>yjbC</t>
  </si>
  <si>
    <t>1226938-1227513</t>
  </si>
  <si>
    <t>acetyltransferase YjbC</t>
  </si>
  <si>
    <t>0.05488 (0.10878)</t>
  </si>
  <si>
    <t>spxA</t>
  </si>
  <si>
    <t>1227697-1228089</t>
  </si>
  <si>
    <t>regulatory protein spx</t>
  </si>
  <si>
    <t>0.04038 (0.04762)</t>
  </si>
  <si>
    <t>0.11220 (0.02928)</t>
  </si>
  <si>
    <t>mecA</t>
  </si>
  <si>
    <t>1229068-1229721</t>
  </si>
  <si>
    <t>adaptor protein MecA</t>
  </si>
  <si>
    <t>0.20541 (0.05352)</t>
  </si>
  <si>
    <t>0.05059 (0.00000)</t>
  </si>
  <si>
    <t>yizD</t>
  </si>
  <si>
    <t>1233136-1233300</t>
  </si>
  <si>
    <t>yjbI</t>
  </si>
  <si>
    <t>1234513-1234908</t>
  </si>
  <si>
    <t>group 2 truncated hemoglobin YjbI</t>
  </si>
  <si>
    <t>0.03080 (0.03532)</t>
  </si>
  <si>
    <t>yjbL</t>
  </si>
  <si>
    <t>1236609-1236974</t>
  </si>
  <si>
    <t>0.27082 (0.16307)</t>
  </si>
  <si>
    <t>0.12919 (0.11435)</t>
  </si>
  <si>
    <t>yjbM</t>
  </si>
  <si>
    <t>1237006-1237638</t>
  </si>
  <si>
    <t>GTP pyrophosphokinase YjbM</t>
  </si>
  <si>
    <t>0.01460 (0.03015)</t>
  </si>
  <si>
    <t>ppnK</t>
  </si>
  <si>
    <t>1237660-1238457</t>
  </si>
  <si>
    <t>inorganic polyphosphate/ATP-NAD kinase 1</t>
  </si>
  <si>
    <t>0.00607 (0.01473)</t>
  </si>
  <si>
    <t>cotY</t>
  </si>
  <si>
    <t>1250019-1250504</t>
  </si>
  <si>
    <t>spore coat protein Y</t>
  </si>
  <si>
    <t>yjzE</t>
  </si>
  <si>
    <t>1256109-1256360</t>
  </si>
  <si>
    <t>0.06552 (0.13201)</t>
  </si>
  <si>
    <t>yjzH</t>
  </si>
  <si>
    <t>1278208-1278399</t>
  </si>
  <si>
    <t>0.09062 (0.14894)</t>
  </si>
  <si>
    <t>yjfA</t>
  </si>
  <si>
    <t>1282574-1283044</t>
  </si>
  <si>
    <t>0.10745 (0.07961)</t>
  </si>
  <si>
    <t>0.62782 (0.00000)</t>
  </si>
  <si>
    <t>yjiA</t>
  </si>
  <si>
    <t>1290678-1290953</t>
  </si>
  <si>
    <t>0.09876 (0.10041)</t>
  </si>
  <si>
    <t>0.09139 (0.00000)</t>
  </si>
  <si>
    <t>yjzI</t>
  </si>
  <si>
    <t>1293779-1293964</t>
  </si>
  <si>
    <t>0.16969 (0.11510)</t>
  </si>
  <si>
    <t>rex</t>
  </si>
  <si>
    <t>1298612-1299031</t>
  </si>
  <si>
    <t>0.07225 (0.10837)</t>
  </si>
  <si>
    <t>0.01670 (0.01677)</t>
  </si>
  <si>
    <t>ndh</t>
  </si>
  <si>
    <t>1299074-1300249</t>
  </si>
  <si>
    <t>NADH dehydrogenase-like protein YjlD</t>
  </si>
  <si>
    <t>0.01979 (0.01577)</t>
  </si>
  <si>
    <t>0.03236 (0.02881)</t>
  </si>
  <si>
    <t>exuM</t>
  </si>
  <si>
    <t>1301939-1303315</t>
  </si>
  <si>
    <t>symporter</t>
  </si>
  <si>
    <t>0.06944 (0.01485)</t>
  </si>
  <si>
    <t>0.01770 (0.00832)</t>
  </si>
  <si>
    <t>yjnA</t>
  </si>
  <si>
    <t>1312854-1313615</t>
  </si>
  <si>
    <t>0.01434 (0.01894)</t>
  </si>
  <si>
    <t>yjoA</t>
  </si>
  <si>
    <t>1313843-1314304</t>
  </si>
  <si>
    <t>0.11668 (0.07973)</t>
  </si>
  <si>
    <t>0.10998 (0.10701)</t>
  </si>
  <si>
    <t>yjoB</t>
  </si>
  <si>
    <t>1314453-1315721</t>
  </si>
  <si>
    <t>ATPase YjoB</t>
  </si>
  <si>
    <t>0.09686 (0.03137)</t>
  </si>
  <si>
    <t>0.05805 (0.04344)</t>
  </si>
  <si>
    <t>rapA</t>
  </si>
  <si>
    <t>1315869-1317002</t>
  </si>
  <si>
    <t>response regulator aspartate phosphatase A</t>
  </si>
  <si>
    <t>0.01267 (0.02595)</t>
  </si>
  <si>
    <t>0.01371 (0.01436)</t>
  </si>
  <si>
    <t>xre</t>
  </si>
  <si>
    <t>1321332-1321670</t>
  </si>
  <si>
    <t>168 , BSN5 , SpizTUB10 , W23</t>
  </si>
  <si>
    <t>xkdF</t>
  </si>
  <si>
    <t>1328702-1329526</t>
  </si>
  <si>
    <t>phage-like element PBSX protein XkdF</t>
  </si>
  <si>
    <t>0.12865 (0.05563)</t>
  </si>
  <si>
    <t>0.04199 (0.04755)</t>
  </si>
  <si>
    <t>xkdG</t>
  </si>
  <si>
    <t>1329555-1330487</t>
  </si>
  <si>
    <t>phage-like element PBSX protein XkdG</t>
  </si>
  <si>
    <t>0.01221 (0.01466)</t>
  </si>
  <si>
    <t>ykzM</t>
  </si>
  <si>
    <t>1332187-1332402</t>
  </si>
  <si>
    <t>spoIISB</t>
  </si>
  <si>
    <t>1348445-1348612</t>
  </si>
  <si>
    <t>stage II sporulation protein SB</t>
  </si>
  <si>
    <t>0.07636 (0.02960)</t>
  </si>
  <si>
    <t>0.08861 (0.00000)</t>
  </si>
  <si>
    <t>ykaA</t>
  </si>
  <si>
    <t>1350485-1351099</t>
  </si>
  <si>
    <t>ykcC</t>
  </si>
  <si>
    <t>1356447-1357415</t>
  </si>
  <si>
    <t>glycosyltransferase YkcC</t>
  </si>
  <si>
    <t>0.05708 (0.07354)</t>
  </si>
  <si>
    <t>dppB</t>
  </si>
  <si>
    <t>1361242-1362165</t>
  </si>
  <si>
    <t>dipeptide transport system permease proteinDppB</t>
  </si>
  <si>
    <t>0.03321 (0.02938)</t>
  </si>
  <si>
    <t>0.04444 (0.05247)</t>
  </si>
  <si>
    <t>ykhA</t>
  </si>
  <si>
    <t>1372035-1372550</t>
  </si>
  <si>
    <t>acyl-CoA thioesterase</t>
  </si>
  <si>
    <t>0.01489 (0.02615)</t>
  </si>
  <si>
    <t>0.02287 (0.00000)</t>
  </si>
  <si>
    <t>ykzD</t>
  </si>
  <si>
    <t>1395371-1395505</t>
  </si>
  <si>
    <t>tnrA</t>
  </si>
  <si>
    <t>1397414-1397743</t>
  </si>
  <si>
    <t>0.02666 (0.04959)</t>
  </si>
  <si>
    <t>0.03704 (0.00000)</t>
  </si>
  <si>
    <t>ykzB</t>
  </si>
  <si>
    <t>1397938-1398090</t>
  </si>
  <si>
    <t>0.25402 (0.00000)</t>
  </si>
  <si>
    <t>ykoM</t>
  </si>
  <si>
    <t>1398496-1398957</t>
  </si>
  <si>
    <t>0.05215 (0.02854)</t>
  </si>
  <si>
    <t>sigI</t>
  </si>
  <si>
    <t>1411892-1412644</t>
  </si>
  <si>
    <t>RNA polymerase sigma factor SigI</t>
  </si>
  <si>
    <t>0.06848 (0.10706)</t>
  </si>
  <si>
    <t>0.02399 (0.00000)</t>
  </si>
  <si>
    <t>sspD</t>
  </si>
  <si>
    <t>1413803-1413994</t>
  </si>
  <si>
    <t>small acid-soluble spore protein D</t>
  </si>
  <si>
    <t>ykrK</t>
  </si>
  <si>
    <t>1414128-1414826</t>
  </si>
  <si>
    <t>0.09319 (0.18488)</t>
  </si>
  <si>
    <t>0.14358 (0.00000)</t>
  </si>
  <si>
    <t>spo0E</t>
  </si>
  <si>
    <t>1430684-1430938</t>
  </si>
  <si>
    <t>aspartyl-phosphate phosphatase Spo0E</t>
  </si>
  <si>
    <t>kinD</t>
  </si>
  <si>
    <t>1431489-1433006</t>
  </si>
  <si>
    <t>sporulation kinase D</t>
  </si>
  <si>
    <t>0.04089 (0.06606)</t>
  </si>
  <si>
    <t>mhqR</t>
  </si>
  <si>
    <t>1433199-1433633</t>
  </si>
  <si>
    <t>0.06714 (0.10501)</t>
  </si>
  <si>
    <t>motB</t>
  </si>
  <si>
    <t>1433679-1434461</t>
  </si>
  <si>
    <t>motility protein B</t>
  </si>
  <si>
    <t>0.01892 (0.03489)</t>
  </si>
  <si>
    <t>0.03567 (0.04720)</t>
  </si>
  <si>
    <t>motA</t>
  </si>
  <si>
    <t>1434436-1435245</t>
  </si>
  <si>
    <t>motility protein A</t>
  </si>
  <si>
    <t>0.02021 (0.02084)</t>
  </si>
  <si>
    <t>queD</t>
  </si>
  <si>
    <t>1440100-1440546</t>
  </si>
  <si>
    <t>6-pyruvoyl tetrahydrobiopterin synthase</t>
  </si>
  <si>
    <t>0.04909 (0.04012)</t>
  </si>
  <si>
    <t>0.02567 (0.03061)</t>
  </si>
  <si>
    <t>ykvP</t>
  </si>
  <si>
    <t>1444099-1445295</t>
  </si>
  <si>
    <t>spore protein YkvP</t>
  </si>
  <si>
    <t>0.20514 (0.20783)</t>
  </si>
  <si>
    <t>0.28001 (0.00000)</t>
  </si>
  <si>
    <t>ykvS</t>
  </si>
  <si>
    <t>1447665-1447847</t>
  </si>
  <si>
    <t>ykzS</t>
  </si>
  <si>
    <t>1448013-1448204</t>
  </si>
  <si>
    <t>glcT</t>
  </si>
  <si>
    <t>1456092-1456955</t>
  </si>
  <si>
    <t>BglG family transcription antiterminator</t>
  </si>
  <si>
    <t>0.01292 (0.02567)</t>
  </si>
  <si>
    <t>ptsG</t>
  </si>
  <si>
    <t>1457187-1459283</t>
  </si>
  <si>
    <t>PTS system-glucose-specific transporter subunitEIICBA</t>
  </si>
  <si>
    <t>0.02798 (0.05725)</t>
  </si>
  <si>
    <t>0.15719 (0.00000)</t>
  </si>
  <si>
    <t>ptsH</t>
  </si>
  <si>
    <t>1459384-1459647</t>
  </si>
  <si>
    <t>phosphocarrier protein HPr</t>
  </si>
  <si>
    <t>ptsI</t>
  </si>
  <si>
    <t>1459650-1461359</t>
  </si>
  <si>
    <t>phosphoenolpyruvate-protein phosphotransferase</t>
  </si>
  <si>
    <t>0.01574 (0.01239)</t>
  </si>
  <si>
    <t>kinA</t>
  </si>
  <si>
    <t>1470026-1471843</t>
  </si>
  <si>
    <t>sporulation kinase A</t>
  </si>
  <si>
    <t>0.04772 (0.01791)</t>
  </si>
  <si>
    <t>0.02242 (0.01816)</t>
  </si>
  <si>
    <t>ykzT</t>
  </si>
  <si>
    <t>1473243-1473401</t>
  </si>
  <si>
    <t>ykyB</t>
  </si>
  <si>
    <t>1474563-1475024</t>
  </si>
  <si>
    <t>0.04081 (0.06294)</t>
  </si>
  <si>
    <t>ykuD</t>
  </si>
  <si>
    <t>1476521-1477012</t>
  </si>
  <si>
    <t>L,D-transpeptidase YkuD</t>
  </si>
  <si>
    <t>0.06850 (0.10735)</t>
  </si>
  <si>
    <t>ykuJ</t>
  </si>
  <si>
    <t>1484117-1484353</t>
  </si>
  <si>
    <t>ykuK</t>
  </si>
  <si>
    <t>1484466-1484981</t>
  </si>
  <si>
    <t>0.03192 (0.07263)</t>
  </si>
  <si>
    <t>0.05607 (0.00000)</t>
  </si>
  <si>
    <t>ykzF</t>
  </si>
  <si>
    <t>1485118-1485312</t>
  </si>
  <si>
    <t>dapH</t>
  </si>
  <si>
    <t>1488973-1489680</t>
  </si>
  <si>
    <t>2,3,4,5-tetrahydropyridine-2,6-dicarboxylateN-acetyltransferase</t>
  </si>
  <si>
    <t>0.01420 (0.02605)</t>
  </si>
  <si>
    <t>0.01575 (0.02008)</t>
  </si>
  <si>
    <t>ykuS</t>
  </si>
  <si>
    <t>1490939-1491181</t>
  </si>
  <si>
    <t>0.10585 (0.10294)</t>
  </si>
  <si>
    <t>rok</t>
  </si>
  <si>
    <t>1493787-1494359</t>
  </si>
  <si>
    <t>repressor rok</t>
  </si>
  <si>
    <t>yknY</t>
  </si>
  <si>
    <t>1505416-1506105</t>
  </si>
  <si>
    <t>0.07669 (0.04164)</t>
  </si>
  <si>
    <t>0.07471 (0.00000)</t>
  </si>
  <si>
    <t>fruR</t>
  </si>
  <si>
    <t>1507578-1508330</t>
  </si>
  <si>
    <t>DeoR family transcriptional regulator</t>
  </si>
  <si>
    <t>0.02923 (0.05888)</t>
  </si>
  <si>
    <t>0.06891 (0.08880)</t>
  </si>
  <si>
    <t>fruK</t>
  </si>
  <si>
    <t>1508330-1509238</t>
  </si>
  <si>
    <t>1-phosphofructokinase</t>
  </si>
  <si>
    <t>0.06388 (0.08825)</t>
  </si>
  <si>
    <t>sipT</t>
  </si>
  <si>
    <t>1511308-1511886</t>
  </si>
  <si>
    <t>signal peptidase I T</t>
  </si>
  <si>
    <t>0.08537 (0.13781)</t>
  </si>
  <si>
    <t>0.01352 (0.00000)</t>
  </si>
  <si>
    <t>ykpA</t>
  </si>
  <si>
    <t>1512373-1513992</t>
  </si>
  <si>
    <t>0.01622 (0.03012)</t>
  </si>
  <si>
    <t>ykpC</t>
  </si>
  <si>
    <t>1516342-1516473</t>
  </si>
  <si>
    <t>kinC</t>
  </si>
  <si>
    <t>1518333-1519616</t>
  </si>
  <si>
    <t>sporulation kinase C</t>
  </si>
  <si>
    <t>0.04540 (0.08648)</t>
  </si>
  <si>
    <t>ykzG</t>
  </si>
  <si>
    <t>1524794-1525000</t>
  </si>
  <si>
    <t>pdhA</t>
  </si>
  <si>
    <t>1528326-1529438</t>
  </si>
  <si>
    <t>pyruvate dehydrogenase E1 component subunitalpha</t>
  </si>
  <si>
    <t>pdhB</t>
  </si>
  <si>
    <t>1529445-1530419</t>
  </si>
  <si>
    <t>pyruvate dehydrogenase E1 component subunitbeta</t>
  </si>
  <si>
    <t>0.03272 (0.02748)</t>
  </si>
  <si>
    <t>pdhC</t>
  </si>
  <si>
    <t>1530537-1531862</t>
  </si>
  <si>
    <t>dihydrolipoyllysine-residue acetyltransferasecomponent of pyruvate dehydrogenase complex</t>
  </si>
  <si>
    <t>0.06791 (0.00000)</t>
  </si>
  <si>
    <t>pdhD</t>
  </si>
  <si>
    <t>1531870-1533279</t>
  </si>
  <si>
    <t>dihydrolipoyl dehydrogenase</t>
  </si>
  <si>
    <t>0.01181 (0.02308)</t>
  </si>
  <si>
    <t>0.02783 (0.03314)</t>
  </si>
  <si>
    <t>slp</t>
  </si>
  <si>
    <t>1533330-1533701</t>
  </si>
  <si>
    <t>Pal-related lipoprotein</t>
  </si>
  <si>
    <t>0.13260 (0.20475)</t>
  </si>
  <si>
    <t>0.10995 (0.00000)</t>
  </si>
  <si>
    <t>ykzW</t>
  </si>
  <si>
    <t>1534120-1534236</t>
  </si>
  <si>
    <t>0.06036 (0.09054)</t>
  </si>
  <si>
    <t>yktA</t>
  </si>
  <si>
    <t>1535936-1536199</t>
  </si>
  <si>
    <t>0.01945 (0.02377)</t>
  </si>
  <si>
    <t>ykzI</t>
  </si>
  <si>
    <t>1537113-1537298</t>
  </si>
  <si>
    <t>ylaF</t>
  </si>
  <si>
    <t>1545823-1546008</t>
  </si>
  <si>
    <t>0.03295 (0.06507)</t>
  </si>
  <si>
    <t>0.10368 (0.10122)</t>
  </si>
  <si>
    <t>bipA</t>
  </si>
  <si>
    <t>1546121-1547956</t>
  </si>
  <si>
    <t>GTP-binding protein TypA/BipA</t>
  </si>
  <si>
    <t>0.01602 (0.01599)</t>
  </si>
  <si>
    <t>0.00978 (0.01138)</t>
  </si>
  <si>
    <t>ylaH</t>
  </si>
  <si>
    <t>1548016-1548330</t>
  </si>
  <si>
    <t>0.17547 (0.06363)</t>
  </si>
  <si>
    <t>ylaI</t>
  </si>
  <si>
    <t>1548392-1548598</t>
  </si>
  <si>
    <t>ylaN</t>
  </si>
  <si>
    <t>1552412-1552690</t>
  </si>
  <si>
    <t>0.06803 (0.08364)</t>
  </si>
  <si>
    <t>ctaB</t>
  </si>
  <si>
    <t>1559309-1560223</t>
  </si>
  <si>
    <t>protoheme IX farnesyltransferase 2</t>
  </si>
  <si>
    <t>0.04062 (0.03938)</t>
  </si>
  <si>
    <t>ctaC</t>
  </si>
  <si>
    <t>1560466-1561533</t>
  </si>
  <si>
    <t>cytochrome c oxidase subunit 2</t>
  </si>
  <si>
    <t>0.03558 (0.07169)</t>
  </si>
  <si>
    <t>0.28928 (0.00000)</t>
  </si>
  <si>
    <t>ylbB</t>
  </si>
  <si>
    <t>1565849-1566292</t>
  </si>
  <si>
    <t>0.02288 (0.03011)</t>
  </si>
  <si>
    <t>ylbD</t>
  </si>
  <si>
    <t>1567651-1568046</t>
  </si>
  <si>
    <t>0.19968 (0.07083)</t>
  </si>
  <si>
    <t>0.08642 (0.09657)</t>
  </si>
  <si>
    <t>ylbE</t>
  </si>
  <si>
    <t>1568065-1568301</t>
  </si>
  <si>
    <t>0.67743 (0.53274)</t>
  </si>
  <si>
    <t>0.02497 (0.00000)</t>
  </si>
  <si>
    <t>ylbF</t>
  </si>
  <si>
    <t>1568420-1568866</t>
  </si>
  <si>
    <t>regulatory protein YlbF</t>
  </si>
  <si>
    <t>ylbG</t>
  </si>
  <si>
    <t>1568924-1569193</t>
  </si>
  <si>
    <t>0.04525 (0.04240)</t>
  </si>
  <si>
    <t>ylbH</t>
  </si>
  <si>
    <t>1569519-1570070</t>
  </si>
  <si>
    <t>rRNA methyltransferase YlbH</t>
  </si>
  <si>
    <t>0.22740 (0.06519)</t>
  </si>
  <si>
    <t>0.01679 (0.02130)</t>
  </si>
  <si>
    <t>coaD</t>
  </si>
  <si>
    <t>1570078-1570560</t>
  </si>
  <si>
    <t>phosphopantetheine adenylyltransferase</t>
  </si>
  <si>
    <t>0.02429 (0.04808)</t>
  </si>
  <si>
    <t>ylbL</t>
  </si>
  <si>
    <t>1572765-1573787</t>
  </si>
  <si>
    <t>0.06011 (0.03023)</t>
  </si>
  <si>
    <t>0.04768 (0.05905)</t>
  </si>
  <si>
    <t>ylzH</t>
  </si>
  <si>
    <t>1575054-1575236</t>
  </si>
  <si>
    <t>0.12221 (0.00000)</t>
  </si>
  <si>
    <t>ylbN</t>
  </si>
  <si>
    <t>1575264-1575779</t>
  </si>
  <si>
    <t>0.34219 (0.40685)</t>
  </si>
  <si>
    <t>0.04228 (0.03333)</t>
  </si>
  <si>
    <t>rpmF</t>
  </si>
  <si>
    <t>1575804-1575980</t>
  </si>
  <si>
    <t>50S ribosomal protein L32</t>
  </si>
  <si>
    <t>ylbO</t>
  </si>
  <si>
    <t>1576129-1576707</t>
  </si>
  <si>
    <t>0.16314 (0.03772)</t>
  </si>
  <si>
    <t>0.05184 (0.05714)</t>
  </si>
  <si>
    <t>yllB</t>
  </si>
  <si>
    <t>1580121-1580549</t>
  </si>
  <si>
    <t>protein MraZ</t>
  </si>
  <si>
    <t>mraW</t>
  </si>
  <si>
    <t>1580622-1581554</t>
  </si>
  <si>
    <t>ribosomal RNA small subunit methyltransferase H</t>
  </si>
  <si>
    <t>0.05370 (0.09013)</t>
  </si>
  <si>
    <t>0.14585 (0.00000)</t>
  </si>
  <si>
    <t>ftsL</t>
  </si>
  <si>
    <t>1581597-1581947</t>
  </si>
  <si>
    <t>cell division protein FtsL</t>
  </si>
  <si>
    <t>mraY</t>
  </si>
  <si>
    <t>1587926-1588897</t>
  </si>
  <si>
    <t>phospho-n-acetylmuramoyl-pentapeptide-transferase</t>
  </si>
  <si>
    <t>0.04388 (0.01750)</t>
  </si>
  <si>
    <t>0.02182 (0.00982)</t>
  </si>
  <si>
    <t>spoVE</t>
  </si>
  <si>
    <t>1590317-1591414</t>
  </si>
  <si>
    <t>stage V sporulation protein E</t>
  </si>
  <si>
    <t>0.02056 (0.01688)</t>
  </si>
  <si>
    <t>murG</t>
  </si>
  <si>
    <t>1591540-1592628</t>
  </si>
  <si>
    <t>UDP-N-acetylglucosamine--N-acetylmuramyl-(pentapeptide) pyrophosphoryl-undecaprenolN-acetylglucosamine transferase</t>
  </si>
  <si>
    <t>0.06557 (0.07639)</t>
  </si>
  <si>
    <t>0.30821 (0.00000)</t>
  </si>
  <si>
    <t>murB</t>
  </si>
  <si>
    <t>1592663-1593571</t>
  </si>
  <si>
    <t>UDP-N-acetylenolpyruvoylglucosamine reductase</t>
  </si>
  <si>
    <t>0.01078 (0.01966)</t>
  </si>
  <si>
    <t>0.00968 (0.01282)</t>
  </si>
  <si>
    <t>divIB</t>
  </si>
  <si>
    <t>1593704-1594492</t>
  </si>
  <si>
    <t>cell division protein DivIB</t>
  </si>
  <si>
    <t>0.01464 (0.02797)</t>
  </si>
  <si>
    <t>0.02794 (0.03686)</t>
  </si>
  <si>
    <t>sbp</t>
  </si>
  <si>
    <t>1595935-1596297</t>
  </si>
  <si>
    <t>small basic protein</t>
  </si>
  <si>
    <t>0.09167 (0.02871)</t>
  </si>
  <si>
    <t>ftsA</t>
  </si>
  <si>
    <t>1596474-1597793</t>
  </si>
  <si>
    <t>cell division protein FtsA</t>
  </si>
  <si>
    <t>0.03925 (0.01373)</t>
  </si>
  <si>
    <t>0.06306 (0.07200)</t>
  </si>
  <si>
    <t>ftsZ</t>
  </si>
  <si>
    <t>1597832-1598977</t>
  </si>
  <si>
    <t>cell division protein FtsZ</t>
  </si>
  <si>
    <t>0.03747 (0.04271)</t>
  </si>
  <si>
    <t>0.00804 (0.01024)</t>
  </si>
  <si>
    <t>sigG</t>
  </si>
  <si>
    <t>1605630-1606409</t>
  </si>
  <si>
    <t>RNA polymerase sigma-G factor</t>
  </si>
  <si>
    <t>0.01727 (0.01897)</t>
  </si>
  <si>
    <t>ylmC</t>
  </si>
  <si>
    <t>1608919-1609161</t>
  </si>
  <si>
    <t>0.03381 (0.02555)</t>
  </si>
  <si>
    <t>ylmD</t>
  </si>
  <si>
    <t>1609327-1610160</t>
  </si>
  <si>
    <t>laccase domain protein YlmD</t>
  </si>
  <si>
    <t>0.15920 (0.22394)</t>
  </si>
  <si>
    <t>ylmE</t>
  </si>
  <si>
    <t>1610170-1610859</t>
  </si>
  <si>
    <t>0.16802 (0.10007)</t>
  </si>
  <si>
    <t>0.23982 (0.22866)</t>
  </si>
  <si>
    <t>sepF</t>
  </si>
  <si>
    <t>1610865-1611311</t>
  </si>
  <si>
    <t>cell division machinery factor</t>
  </si>
  <si>
    <t>0.03750 (0.05788)</t>
  </si>
  <si>
    <t>0.07340 (0.00000)</t>
  </si>
  <si>
    <t>ylmG</t>
  </si>
  <si>
    <t>1611321-1611590</t>
  </si>
  <si>
    <t>0.03550 (0.06320)</t>
  </si>
  <si>
    <t>ylmH</t>
  </si>
  <si>
    <t>1611654-1612424</t>
  </si>
  <si>
    <t>RNA-binding protein YlmH</t>
  </si>
  <si>
    <t>0.06649 (0.02263)</t>
  </si>
  <si>
    <t>0.05388 (0.04376)</t>
  </si>
  <si>
    <t>divIVA</t>
  </si>
  <si>
    <t>1612521-1613012</t>
  </si>
  <si>
    <t>septum site-determining protein DivIVA</t>
  </si>
  <si>
    <t>lspA</t>
  </si>
  <si>
    <t>1616744-1617205</t>
  </si>
  <si>
    <t>lipoprotein signal peptidase</t>
  </si>
  <si>
    <t>0.06129 (0.07364)</t>
  </si>
  <si>
    <t>0.01647 (0.02094)</t>
  </si>
  <si>
    <t>pyrAA</t>
  </si>
  <si>
    <t>1622657-1623748</t>
  </si>
  <si>
    <t>carbamoyl-phosphate synthase pyrimidine-specificsmall chain</t>
  </si>
  <si>
    <t>0.03191 (0.06559)</t>
  </si>
  <si>
    <t>pyrK</t>
  </si>
  <si>
    <t>1626948-1627715</t>
  </si>
  <si>
    <t>dihydroorotate dehydrogenase B</t>
  </si>
  <si>
    <t>0.10776 (0.14354)</t>
  </si>
  <si>
    <t>0.10244 (0.00000)</t>
  </si>
  <si>
    <t>cysH</t>
  </si>
  <si>
    <t>1630382-1631080</t>
  </si>
  <si>
    <t>phosphoadenosine phosphosulfate reductase</t>
  </si>
  <si>
    <t>0.02261 (0.04298)</t>
  </si>
  <si>
    <t>sumT</t>
  </si>
  <si>
    <t>1634061-1634831</t>
  </si>
  <si>
    <t>uroporphyrinogen-iii C-methyltransferase</t>
  </si>
  <si>
    <t>0.07492 (0.00814)</t>
  </si>
  <si>
    <t>0.08002 (0.00679)</t>
  </si>
  <si>
    <t>yloC</t>
  </si>
  <si>
    <t>1640720-1641592</t>
  </si>
  <si>
    <t>0.20594 (0.13589)</t>
  </si>
  <si>
    <t>0.08181 (0.00000)</t>
  </si>
  <si>
    <t>ylzA</t>
  </si>
  <si>
    <t>1641672-1641938</t>
  </si>
  <si>
    <t>gmk</t>
  </si>
  <si>
    <t>1641949-1642560</t>
  </si>
  <si>
    <t>guanylate kinase</t>
  </si>
  <si>
    <t>0.05812 (0.09311)</t>
  </si>
  <si>
    <t>0.01404 (0.00000)</t>
  </si>
  <si>
    <t>rpoZ</t>
  </si>
  <si>
    <t>1642567-1642767</t>
  </si>
  <si>
    <t>DNA-directed RNA polymerase subunit omega</t>
  </si>
  <si>
    <t>yloN</t>
  </si>
  <si>
    <t>1649286-1650374</t>
  </si>
  <si>
    <t>23S rRNA (adenine(2503)-C(2))-methyltransferaseRlmN</t>
  </si>
  <si>
    <t>0.03375 (0.05877)</t>
  </si>
  <si>
    <t>0.05751 (0.00000)</t>
  </si>
  <si>
    <t>prpC</t>
  </si>
  <si>
    <t>1650384-1651145</t>
  </si>
  <si>
    <t>protein phosphatase PrpC</t>
  </si>
  <si>
    <t>0.03102 (0.02281)</t>
  </si>
  <si>
    <t>0.15985 (0.09027)</t>
  </si>
  <si>
    <t>yloQ</t>
  </si>
  <si>
    <t>1653103-1653996</t>
  </si>
  <si>
    <t>ribosome biogenesis GTPase RsgA</t>
  </si>
  <si>
    <t>0.05704 (0.03914)</t>
  </si>
  <si>
    <t>0.04029 (0.04328)</t>
  </si>
  <si>
    <t>spoVM</t>
  </si>
  <si>
    <t>1655446-1655523</t>
  </si>
  <si>
    <t>stage V sporulation protein M</t>
  </si>
  <si>
    <t>rpmB</t>
  </si>
  <si>
    <t>1655602-1655787</t>
  </si>
  <si>
    <t>50S ribosomal protein L28</t>
  </si>
  <si>
    <t>yloU</t>
  </si>
  <si>
    <t>1656064-1656423</t>
  </si>
  <si>
    <t>0.08355 (0.00000)</t>
  </si>
  <si>
    <t>sdaAB</t>
  </si>
  <si>
    <t>1658242-1658901</t>
  </si>
  <si>
    <t>L-serine dehydratase, beta chain</t>
  </si>
  <si>
    <t>0.02193 (0.01976)</t>
  </si>
  <si>
    <t>0.03401 (0.03856)</t>
  </si>
  <si>
    <t>ylpC</t>
  </si>
  <si>
    <t>1661967-1662530</t>
  </si>
  <si>
    <t>transcription factor FapR</t>
  </si>
  <si>
    <t>0.01654 (0.03451)</t>
  </si>
  <si>
    <t>0.01524 (0.01208)</t>
  </si>
  <si>
    <t>plsX</t>
  </si>
  <si>
    <t>1662547-1663545</t>
  </si>
  <si>
    <t>phosphate acyltransferase</t>
  </si>
  <si>
    <t>0.04401 (0.03654)</t>
  </si>
  <si>
    <t>0.04174 (0.04831)</t>
  </si>
  <si>
    <t>acpP</t>
  </si>
  <si>
    <t>1665337-1665567</t>
  </si>
  <si>
    <t>acyl carrier protein</t>
  </si>
  <si>
    <t>rnc</t>
  </si>
  <si>
    <t>1665710-1666456</t>
  </si>
  <si>
    <t>ribonuclease 3</t>
  </si>
  <si>
    <t>0.01953 (0.02616)</t>
  </si>
  <si>
    <t>0.01636 (0.00000)</t>
  </si>
  <si>
    <t>ylxM</t>
  </si>
  <si>
    <t>1671828-1672157</t>
  </si>
  <si>
    <t>0.08966 (0.10353)</t>
  </si>
  <si>
    <t>ffh</t>
  </si>
  <si>
    <t>1672174-1673511</t>
  </si>
  <si>
    <t>signal recognition particle protein</t>
  </si>
  <si>
    <t>0.00652 (0.01333)</t>
  </si>
  <si>
    <t>0.02084 (0.02053)</t>
  </si>
  <si>
    <t>rpsP</t>
  </si>
  <si>
    <t>1673620-1673889</t>
  </si>
  <si>
    <t>30S ribosomal protein S16</t>
  </si>
  <si>
    <t>ylqC</t>
  </si>
  <si>
    <t>1673892-1674134</t>
  </si>
  <si>
    <t>ylqD</t>
  </si>
  <si>
    <t>1674259-1674642</t>
  </si>
  <si>
    <t>0.08785 (0.03181)</t>
  </si>
  <si>
    <t>0.09193 (0.00000)</t>
  </si>
  <si>
    <t>rplS</t>
  </si>
  <si>
    <t>1676033-1676386</t>
  </si>
  <si>
    <t>50S ribosomal protein L19</t>
  </si>
  <si>
    <t>sucC</t>
  </si>
  <si>
    <t>1680431-1681585</t>
  </si>
  <si>
    <t>succinyl-CoA ligase [ADP-forming] subunit beta</t>
  </si>
  <si>
    <t>0.04071 (0.02454)</t>
  </si>
  <si>
    <t>0.03463 (0.03692)</t>
  </si>
  <si>
    <t>sucD</t>
  </si>
  <si>
    <t>1681617-1682516</t>
  </si>
  <si>
    <t>succinyl-CoA ligase [ADP-forming] subunit alpha</t>
  </si>
  <si>
    <t>0.01723 (0.02725)</t>
  </si>
  <si>
    <t>xerC</t>
  </si>
  <si>
    <t>1687187-1688098</t>
  </si>
  <si>
    <t>tyrosine recombinase XerC</t>
  </si>
  <si>
    <t>0.01858 (0.03662)</t>
  </si>
  <si>
    <t>0.07441 (0.06111)</t>
  </si>
  <si>
    <t>clpQ</t>
  </si>
  <si>
    <t>1688114-1688656</t>
  </si>
  <si>
    <t>ATP-dependent protease subunit ClpQ</t>
  </si>
  <si>
    <t>0.03328 (0.03990)</t>
  </si>
  <si>
    <t>hslU</t>
  </si>
  <si>
    <t>1688676-1690076</t>
  </si>
  <si>
    <t>ATP-dependent protease ATPase subunit ClpY</t>
  </si>
  <si>
    <t>0.01753 (0.02720)</t>
  </si>
  <si>
    <t>codY</t>
  </si>
  <si>
    <t>1690119-1690895</t>
  </si>
  <si>
    <t>GTP-sensing transcriptional pleiotropicrepressor CodY</t>
  </si>
  <si>
    <t>flgB</t>
  </si>
  <si>
    <t>1691278-1691664</t>
  </si>
  <si>
    <t>flagellar basal body rod protein FlgB</t>
  </si>
  <si>
    <t>0.07591 (0.05156)</t>
  </si>
  <si>
    <t>0.21195 (0.00000)</t>
  </si>
  <si>
    <t>flgC</t>
  </si>
  <si>
    <t>1691667-1692116</t>
  </si>
  <si>
    <t>flagellar basal-body rod protein FlgC</t>
  </si>
  <si>
    <t>0.07085 (0.04446)</t>
  </si>
  <si>
    <t>0.01625 (0.02053)</t>
  </si>
  <si>
    <t>fliE</t>
  </si>
  <si>
    <t>1692130-1692447</t>
  </si>
  <si>
    <t>flagellar hook-basal body complex protein FliE</t>
  </si>
  <si>
    <t>fliG</t>
  </si>
  <si>
    <t>1694119-1695132</t>
  </si>
  <si>
    <t>flagellar motor switch protein FliG</t>
  </si>
  <si>
    <t>0.00720 (0.00713)</t>
  </si>
  <si>
    <t>fliJ</t>
  </si>
  <si>
    <t>1697196-1697636</t>
  </si>
  <si>
    <t>flagellar FliJ protein</t>
  </si>
  <si>
    <t>0.03458 (0.03914)</t>
  </si>
  <si>
    <t>ylxF</t>
  </si>
  <si>
    <t>1697651-1698262</t>
  </si>
  <si>
    <t>flagellar filament outer layer protein FlaA</t>
  </si>
  <si>
    <t>0.07763 (0.03550)</t>
  </si>
  <si>
    <t>0.24419 (0.30200)</t>
  </si>
  <si>
    <t>ylzI</t>
  </si>
  <si>
    <t>1701016-1701228</t>
  </si>
  <si>
    <t>fliM</t>
  </si>
  <si>
    <t>1701684-1702679</t>
  </si>
  <si>
    <t>flagellar motor switch protein FliM</t>
  </si>
  <si>
    <t>fliZ</t>
  </si>
  <si>
    <t>1704211-1704867</t>
  </si>
  <si>
    <t>flagellar biosynthetic protein FliZ</t>
  </si>
  <si>
    <t>0.17764 (0.11762)</t>
  </si>
  <si>
    <t>0.09403 (0.04530)</t>
  </si>
  <si>
    <t>fliP</t>
  </si>
  <si>
    <t>1704863-1705525</t>
  </si>
  <si>
    <t>flagellar biosynthetic protein FliP</t>
  </si>
  <si>
    <t>0.06133 (0.10256)</t>
  </si>
  <si>
    <t>0.01753 (0.00000)</t>
  </si>
  <si>
    <t>fliQ</t>
  </si>
  <si>
    <t>1705543-1705809</t>
  </si>
  <si>
    <t>flagellar biosynthetic protein FliQ</t>
  </si>
  <si>
    <t>cheW</t>
  </si>
  <si>
    <t>1714855-1715322</t>
  </si>
  <si>
    <t>chemotaxis protein CheW</t>
  </si>
  <si>
    <t>0.02836 (0.04545)</t>
  </si>
  <si>
    <t>0.10876 (0.00000)</t>
  </si>
  <si>
    <t>cheC</t>
  </si>
  <si>
    <t>1715344-1715970</t>
  </si>
  <si>
    <t>Chey-P phosphatase CheC</t>
  </si>
  <si>
    <t>0.03166 (0.03986)</t>
  </si>
  <si>
    <t>cheD</t>
  </si>
  <si>
    <t>1715970-1716467</t>
  </si>
  <si>
    <t>chemoreceptor glutamine deamidase CheD</t>
  </si>
  <si>
    <t>0.02001 (0.03313)</t>
  </si>
  <si>
    <t>0.04795 (0.00000)</t>
  </si>
  <si>
    <t>sigD</t>
  </si>
  <si>
    <t>1716493-1717254</t>
  </si>
  <si>
    <t>RNA polymerase sigma-D factor</t>
  </si>
  <si>
    <t>0.01817 (0.03204)</t>
  </si>
  <si>
    <t>rpsB</t>
  </si>
  <si>
    <t>1717933-1718670</t>
  </si>
  <si>
    <t>30S ribosomal protein S2</t>
  </si>
  <si>
    <t>tsf</t>
  </si>
  <si>
    <t>1718775-1719653</t>
  </si>
  <si>
    <t>elongation factor Ts</t>
  </si>
  <si>
    <t>0.04691 (0.07437)</t>
  </si>
  <si>
    <t>0.05684 (0.06588)</t>
  </si>
  <si>
    <t>pyrH</t>
  </si>
  <si>
    <t>1719802-1720521</t>
  </si>
  <si>
    <t>uridylate kinase</t>
  </si>
  <si>
    <t>frr</t>
  </si>
  <si>
    <t>1720526-1721080</t>
  </si>
  <si>
    <t>ribosome-recycling factor</t>
  </si>
  <si>
    <t>0.02129 (0.03978)</t>
  </si>
  <si>
    <t>0.07478 (0.00000)</t>
  </si>
  <si>
    <t>uppS</t>
  </si>
  <si>
    <t>1721214-1721993</t>
  </si>
  <si>
    <t>undecaprenyl pyrophosphate synthase</t>
  </si>
  <si>
    <t>0.07396 (0.09921)</t>
  </si>
  <si>
    <t>0.06741 (0.00000)</t>
  </si>
  <si>
    <t>cdsA</t>
  </si>
  <si>
    <t>1722000-1722806</t>
  </si>
  <si>
    <t>phosphatidate cytidylyltransferase</t>
  </si>
  <si>
    <t>0.06990 (0.02797)</t>
  </si>
  <si>
    <t>0.07960 (0.09226)</t>
  </si>
  <si>
    <t>dxr</t>
  </si>
  <si>
    <t>1722871-1724019</t>
  </si>
  <si>
    <t>1-deoxy-D-xylulose 5-phosphate reductoisomerase</t>
  </si>
  <si>
    <t>0.04378 (0.04915)</t>
  </si>
  <si>
    <t>0.03491 (0.04121)</t>
  </si>
  <si>
    <t>rseP</t>
  </si>
  <si>
    <t>1724029-1725294</t>
  </si>
  <si>
    <t>zinc metalloprotease RasP</t>
  </si>
  <si>
    <t>0.09006 (0.12098)</t>
  </si>
  <si>
    <t>0.01742 (0.00430)</t>
  </si>
  <si>
    <t>ylxS</t>
  </si>
  <si>
    <t>1731776-1732243</t>
  </si>
  <si>
    <t>ribosome maturation factor RimP</t>
  </si>
  <si>
    <t>ylxR</t>
  </si>
  <si>
    <t>1733410-1733682</t>
  </si>
  <si>
    <t>0.26943 (0.21235)</t>
  </si>
  <si>
    <t>ylxQ</t>
  </si>
  <si>
    <t>1733687-1733986</t>
  </si>
  <si>
    <t>ribosomal protein YlxQ</t>
  </si>
  <si>
    <t>infB</t>
  </si>
  <si>
    <t>1734009-1736156</t>
  </si>
  <si>
    <t>translation initiation factor IF-2</t>
  </si>
  <si>
    <t>0.02339 (0.00793)</t>
  </si>
  <si>
    <t>0.01948 (0.02411)</t>
  </si>
  <si>
    <t>ylxP</t>
  </si>
  <si>
    <t>1736156-1736431</t>
  </si>
  <si>
    <t>0.15112 (0.21371)</t>
  </si>
  <si>
    <t>rbfA</t>
  </si>
  <si>
    <t>1736451-1736801</t>
  </si>
  <si>
    <t>ribosome-binding factor A</t>
  </si>
  <si>
    <t>0.03583 (0.04602)</t>
  </si>
  <si>
    <t>0.09576 (0.00000)</t>
  </si>
  <si>
    <t>rpsO</t>
  </si>
  <si>
    <t>1738941-1739207</t>
  </si>
  <si>
    <t>30S ribosomal protein S15</t>
  </si>
  <si>
    <t>pnpA</t>
  </si>
  <si>
    <t>1739383-1741497</t>
  </si>
  <si>
    <t>polyribonucleotide nucleotidyltransferase</t>
  </si>
  <si>
    <t>0.03585 (0.07396)</t>
  </si>
  <si>
    <t>mlpA</t>
  </si>
  <si>
    <t>1742617-1743843</t>
  </si>
  <si>
    <t>zinc protease YmxG</t>
  </si>
  <si>
    <t>0.02647 (0.05770)</t>
  </si>
  <si>
    <t>spoVFA</t>
  </si>
  <si>
    <t>1744367-1745257</t>
  </si>
  <si>
    <t>dipicolinate synthase subunit A</t>
  </si>
  <si>
    <t>0.10364 (0.05891)</t>
  </si>
  <si>
    <t>0.03106 (0.03850)</t>
  </si>
  <si>
    <t>asd</t>
  </si>
  <si>
    <t>1745991-1747028</t>
  </si>
  <si>
    <t>aspartate-semialdehyde dehydrogenase</t>
  </si>
  <si>
    <t>0.06790 (0.05589)</t>
  </si>
  <si>
    <t>0.05014 (0.06508)</t>
  </si>
  <si>
    <t>dapA</t>
  </si>
  <si>
    <t>1748368-1749237</t>
  </si>
  <si>
    <t>4-hydroxy-tetrahydrodipicolinate synthase</t>
  </si>
  <si>
    <t>0.02262 (0.01888)</t>
  </si>
  <si>
    <t>rnjB</t>
  </si>
  <si>
    <t>1749418-1751082</t>
  </si>
  <si>
    <t>ribonuclease J 2</t>
  </si>
  <si>
    <t>0.01688 (0.01342)</t>
  </si>
  <si>
    <t>0.02396 (0.01728)</t>
  </si>
  <si>
    <t>ymfC</t>
  </si>
  <si>
    <t>1754785-1755507</t>
  </si>
  <si>
    <t>0.04014 (0.08984)</t>
  </si>
  <si>
    <t>ymfH</t>
  </si>
  <si>
    <t>1758314-1759597</t>
  </si>
  <si>
    <t>zinc protease YmfH</t>
  </si>
  <si>
    <t>0.02751 (0.04601)</t>
  </si>
  <si>
    <t>ymfJ</t>
  </si>
  <si>
    <t>1760464-1760718</t>
  </si>
  <si>
    <t>0.11805 (0.00000)</t>
  </si>
  <si>
    <t>recA</t>
  </si>
  <si>
    <t>1764645-1765688</t>
  </si>
  <si>
    <t>recombinase RecA</t>
  </si>
  <si>
    <t>0.02197 (0.01706)</t>
  </si>
  <si>
    <t>0.04310 (0.05542)</t>
  </si>
  <si>
    <t>ymdA</t>
  </si>
  <si>
    <t>1767310-1768869</t>
  </si>
  <si>
    <t>ribonuclease Y</t>
  </si>
  <si>
    <t>spoVS</t>
  </si>
  <si>
    <t>1769935-1770192</t>
  </si>
  <si>
    <t>stage V sporulation protein S</t>
  </si>
  <si>
    <t>ymcB</t>
  </si>
  <si>
    <t>1772843-1774369</t>
  </si>
  <si>
    <t>(dimethylallyl)adenosine tRNAmethylthiotransferase MiaB</t>
  </si>
  <si>
    <t>0.01223 (0.00924)</t>
  </si>
  <si>
    <t>0.01866 (0.01038)</t>
  </si>
  <si>
    <t>ymcA</t>
  </si>
  <si>
    <t>1774374-1774802</t>
  </si>
  <si>
    <t>hfq</t>
  </si>
  <si>
    <t>1867373-1867591</t>
  </si>
  <si>
    <t>RNA-binding protein Hfq</t>
  </si>
  <si>
    <t>ymzA</t>
  </si>
  <si>
    <t>1868144-1868371</t>
  </si>
  <si>
    <t>0.23689 (0.00000)</t>
  </si>
  <si>
    <t>nrdI</t>
  </si>
  <si>
    <t>1868617-1869006</t>
  </si>
  <si>
    <t>ribonucleotide reductase stimulatory proteinNrdI</t>
  </si>
  <si>
    <t>0.05648 (0.08819)</t>
  </si>
  <si>
    <t>0.21026 (0.05467)</t>
  </si>
  <si>
    <t>nrdE</t>
  </si>
  <si>
    <t>1868969-1871068</t>
  </si>
  <si>
    <t>ribonucleoside-diphosphate reductase subunitalpha</t>
  </si>
  <si>
    <t>0.01354 (0.00831)</t>
  </si>
  <si>
    <t>0.05453 (0.00000)</t>
  </si>
  <si>
    <t>nrdF</t>
  </si>
  <si>
    <t>1871089-1872075</t>
  </si>
  <si>
    <t>ribonucleoside-diphosphate reductase subunitbeta</t>
  </si>
  <si>
    <t>0.01317 (0.02586)</t>
  </si>
  <si>
    <t>spoVK</t>
  </si>
  <si>
    <t>1874203-1875168</t>
  </si>
  <si>
    <t>stage V sporulation protein K</t>
  </si>
  <si>
    <t>0.00800 (0.01827)</t>
  </si>
  <si>
    <t>0.01579 (0.01870)</t>
  </si>
  <si>
    <t>ynbB</t>
  </si>
  <si>
    <t>1876584-1877846</t>
  </si>
  <si>
    <t>0.02287 (0.01519)</t>
  </si>
  <si>
    <t>glnR</t>
  </si>
  <si>
    <t>1877959-1878363</t>
  </si>
  <si>
    <t>0.12883 (0.05765)</t>
  </si>
  <si>
    <t>glnA</t>
  </si>
  <si>
    <t>1878425-1879756</t>
  </si>
  <si>
    <t>glutamine synthetase</t>
  </si>
  <si>
    <t>0.01029 (0.00774)</t>
  </si>
  <si>
    <t>0.02832 (0.02722)</t>
  </si>
  <si>
    <t>xynP</t>
  </si>
  <si>
    <t>1887352-1888740</t>
  </si>
  <si>
    <t>0.08005 (0.08795)</t>
  </si>
  <si>
    <t>0.03072 (0.00000)</t>
  </si>
  <si>
    <t>xylA</t>
  </si>
  <si>
    <t>1891908-1893242</t>
  </si>
  <si>
    <t>xylose isomerase</t>
  </si>
  <si>
    <t>0.12176 (0.02598)</t>
  </si>
  <si>
    <t>0.10703 (0.13131)</t>
  </si>
  <si>
    <t>lexA</t>
  </si>
  <si>
    <t>1917642-1918256</t>
  </si>
  <si>
    <t>lexa repressor</t>
  </si>
  <si>
    <t>0.02471 (0.04468)</t>
  </si>
  <si>
    <t>ynzC</t>
  </si>
  <si>
    <t>1919459-1919689</t>
  </si>
  <si>
    <t>yneE</t>
  </si>
  <si>
    <t>1922017-1922460</t>
  </si>
  <si>
    <t>sporulation inhibitor of replication proteinSirA</t>
  </si>
  <si>
    <t>0.08577 (0.12612)</t>
  </si>
  <si>
    <t>yneF</t>
  </si>
  <si>
    <t>1922549-1922764</t>
  </si>
  <si>
    <t>ynzD</t>
  </si>
  <si>
    <t>1922844-1923014</t>
  </si>
  <si>
    <t>aspartyl-phosphate phosphatase YnzD</t>
  </si>
  <si>
    <t>ccdA</t>
  </si>
  <si>
    <t>1923234-1923938</t>
  </si>
  <si>
    <t>cytochrome c-type biogenesis protein CcdA</t>
  </si>
  <si>
    <t>0.03312 (0.04443)</t>
  </si>
  <si>
    <t>0.06075 (0.00000)</t>
  </si>
  <si>
    <t>yneI</t>
  </si>
  <si>
    <t>1924030-1924389</t>
  </si>
  <si>
    <t>plasmid maintenance protein CcdB</t>
  </si>
  <si>
    <t>0.04837 (0.05727)</t>
  </si>
  <si>
    <t>yneJ</t>
  </si>
  <si>
    <t>1924471-1924959</t>
  </si>
  <si>
    <t>0.11161 (0.06401)</t>
  </si>
  <si>
    <t>0.04423 (0.02223)</t>
  </si>
  <si>
    <t>cotM</t>
  </si>
  <si>
    <t>1925658-1926047</t>
  </si>
  <si>
    <t>spore coat protein M</t>
  </si>
  <si>
    <t>0.15625 (0.11387)</t>
  </si>
  <si>
    <t>0.03354 (0.03214)</t>
  </si>
  <si>
    <t>sspO</t>
  </si>
  <si>
    <t>1926309-1926452</t>
  </si>
  <si>
    <t>small acid-soluble spore protein O</t>
  </si>
  <si>
    <t>0.05604 (0.00000)</t>
  </si>
  <si>
    <t>ynzL</t>
  </si>
  <si>
    <t>1930074-1930196</t>
  </si>
  <si>
    <t>sspN</t>
  </si>
  <si>
    <t>1930264-1930407</t>
  </si>
  <si>
    <t>small acid-soluble spore protein N</t>
  </si>
  <si>
    <t>yneS</t>
  </si>
  <si>
    <t>1931923-1932501</t>
  </si>
  <si>
    <t>glycerol-3-phosphate acyltransferase</t>
  </si>
  <si>
    <t>0.04643 (0.09176)</t>
  </si>
  <si>
    <t>ynfC</t>
  </si>
  <si>
    <t>1938069-1938476</t>
  </si>
  <si>
    <t>0.07482 (0.00522)</t>
  </si>
  <si>
    <t>0.05868 (0.00000)</t>
  </si>
  <si>
    <t>yoeD</t>
  </si>
  <si>
    <t>2004265-2004492</t>
  </si>
  <si>
    <t>0.24959 (0.16219)</t>
  </si>
  <si>
    <t>0.18773 (0.16743)</t>
  </si>
  <si>
    <t>gltC</t>
  </si>
  <si>
    <t>2014779-2015678</t>
  </si>
  <si>
    <t>LysR family transcriptional regulator</t>
  </si>
  <si>
    <t>0.02765 (0.04697)</t>
  </si>
  <si>
    <t>0.02818 (0.03511)</t>
  </si>
  <si>
    <t>proH</t>
  </si>
  <si>
    <t>2016848-2017738</t>
  </si>
  <si>
    <t>pyrroline-5-carboxylate reductase 1</t>
  </si>
  <si>
    <t>0.08084 (0.11235)</t>
  </si>
  <si>
    <t>xynA</t>
  </si>
  <si>
    <t>2054602-2055240</t>
  </si>
  <si>
    <t>endo-1,4-beta-xylanase A</t>
  </si>
  <si>
    <t>0.09616 (0.04508)</t>
  </si>
  <si>
    <t>0.04269 (0.00000)</t>
  </si>
  <si>
    <t>yocA</t>
  </si>
  <si>
    <t>2085303-2085977</t>
  </si>
  <si>
    <t>0.15240 (0.18167)</t>
  </si>
  <si>
    <t>0.13711 (0.16004)</t>
  </si>
  <si>
    <t>yocJ</t>
  </si>
  <si>
    <t>2096353-2096976</t>
  </si>
  <si>
    <t>FMN-dependent NADH-azoreductase 1</t>
  </si>
  <si>
    <t>yozO</t>
  </si>
  <si>
    <t>2099449-2099790</t>
  </si>
  <si>
    <t>sucA</t>
  </si>
  <si>
    <t>2108777-2111608</t>
  </si>
  <si>
    <t>2-oxoglutarate dehydrogenase subunit E1</t>
  </si>
  <si>
    <t>yojG</t>
  </si>
  <si>
    <t>2121644-2122306</t>
  </si>
  <si>
    <t>deacetylase YojG</t>
  </si>
  <si>
    <t>0.02514 (0.02956)</t>
  </si>
  <si>
    <t>yojF</t>
  </si>
  <si>
    <t>2122328-2122675</t>
  </si>
  <si>
    <t>0.06379 (0.07329)</t>
  </si>
  <si>
    <t>yoyC</t>
  </si>
  <si>
    <t>2122675-2122950</t>
  </si>
  <si>
    <t>yodB</t>
  </si>
  <si>
    <t>2127348-2127683</t>
  </si>
  <si>
    <t>0.03674 (0.04529)</t>
  </si>
  <si>
    <t>yodC</t>
  </si>
  <si>
    <t>2127813-2128418</t>
  </si>
  <si>
    <t>NAD(P)H nitroreductase</t>
  </si>
  <si>
    <t>0.06397 (0.06880)</t>
  </si>
  <si>
    <t>0.06842 (0.04989)</t>
  </si>
  <si>
    <t>yoyD</t>
  </si>
  <si>
    <t>2130177-2130374</t>
  </si>
  <si>
    <t>yodI</t>
  </si>
  <si>
    <t>2134244-2134492</t>
  </si>
  <si>
    <t>yodJ</t>
  </si>
  <si>
    <t>2134569-2135387</t>
  </si>
  <si>
    <t>carboxypeptidase YodJ</t>
  </si>
  <si>
    <t>0.06680 (0.01683)</t>
  </si>
  <si>
    <t>0.08274 (0.03576)</t>
  </si>
  <si>
    <t>deoD</t>
  </si>
  <si>
    <t>2135473-2136171</t>
  </si>
  <si>
    <t>purine nucleoside phosphorylase DeoD-type</t>
  </si>
  <si>
    <t>0.02850 (0.01553)</t>
  </si>
  <si>
    <t>yodL</t>
  </si>
  <si>
    <t>2136541-2136852</t>
  </si>
  <si>
    <t>0.02143 (0.03615)</t>
  </si>
  <si>
    <t>yozD</t>
  </si>
  <si>
    <t>2137605-2137778</t>
  </si>
  <si>
    <t>yoyF</t>
  </si>
  <si>
    <t>2137897-2138037</t>
  </si>
  <si>
    <t>0.24615 (0.00000)</t>
  </si>
  <si>
    <t>yodN</t>
  </si>
  <si>
    <t>2138040-2138717</t>
  </si>
  <si>
    <t>0.13178 (0.14037)</t>
  </si>
  <si>
    <t>0.01116 (0.01130)</t>
  </si>
  <si>
    <t>msrA</t>
  </si>
  <si>
    <t>2287532-2288062</t>
  </si>
  <si>
    <t>peptide methionine sulfoxide reductase MsrA</t>
  </si>
  <si>
    <t>0.02078 (0.02370)</t>
  </si>
  <si>
    <t>ypoP</t>
  </si>
  <si>
    <t>2288194-2288616</t>
  </si>
  <si>
    <t>0.02357 (0.03647)</t>
  </si>
  <si>
    <t>0.04419 (0.00000)</t>
  </si>
  <si>
    <t>ypmT</t>
  </si>
  <si>
    <t>2290081-2290272</t>
  </si>
  <si>
    <t>ypmP</t>
  </si>
  <si>
    <t>2292435-2292683</t>
  </si>
  <si>
    <t>0.24246 (0.13998)</t>
  </si>
  <si>
    <t>ilvA</t>
  </si>
  <si>
    <t>2292772-2294037</t>
  </si>
  <si>
    <t>threonine dehydratase</t>
  </si>
  <si>
    <t>0.05383 (0.00687)</t>
  </si>
  <si>
    <t>0.04279 (0.01488)</t>
  </si>
  <si>
    <t>yphP</t>
  </si>
  <si>
    <t>2300224-2300655</t>
  </si>
  <si>
    <t>metA</t>
  </si>
  <si>
    <t>2305378-2306280</t>
  </si>
  <si>
    <t>homoserine O-succinyltransferase</t>
  </si>
  <si>
    <t>0.10735 (0.04282)</t>
  </si>
  <si>
    <t>0.08545 (0.00000)</t>
  </si>
  <si>
    <t>cspD</t>
  </si>
  <si>
    <t>2307905-2308102</t>
  </si>
  <si>
    <t>cold shock protein CspD</t>
  </si>
  <si>
    <t>ypeQ</t>
  </si>
  <si>
    <t>2308795-2308974</t>
  </si>
  <si>
    <t>0.05837 (0.07188)</t>
  </si>
  <si>
    <t>0.23221 (0.00000)</t>
  </si>
  <si>
    <t>ypdP</t>
  </si>
  <si>
    <t>2309730-2310416</t>
  </si>
  <si>
    <t>0.04887 (0.09479)</t>
  </si>
  <si>
    <t>0.07537 (0.08844)</t>
  </si>
  <si>
    <t>sspL</t>
  </si>
  <si>
    <t>2310859-2310984</t>
  </si>
  <si>
    <t>small acid-soluble spore protein L</t>
  </si>
  <si>
    <t>ypzF</t>
  </si>
  <si>
    <t>2311989-2312132</t>
  </si>
  <si>
    <t>ypzG</t>
  </si>
  <si>
    <t>2329870-2330019</t>
  </si>
  <si>
    <t>ypsB</t>
  </si>
  <si>
    <t>2331782-2332075</t>
  </si>
  <si>
    <t>cell cycle protein GpsB</t>
  </si>
  <si>
    <t>cotD</t>
  </si>
  <si>
    <t>2332787-2333011</t>
  </si>
  <si>
    <t>spore coat protein D</t>
  </si>
  <si>
    <t>yppF</t>
  </si>
  <si>
    <t>2338582-2338767</t>
  </si>
  <si>
    <t>sspM</t>
  </si>
  <si>
    <t>2339670-2339771</t>
  </si>
  <si>
    <t>small acid-soluble spore protein M</t>
  </si>
  <si>
    <t>recU</t>
  </si>
  <si>
    <t>2340802-2341419</t>
  </si>
  <si>
    <t>holliday junction resolvase RecU</t>
  </si>
  <si>
    <t>0.09243 (0.04946)</t>
  </si>
  <si>
    <t>0.04478 (0.05407)</t>
  </si>
  <si>
    <t>asnC</t>
  </si>
  <si>
    <t>2346227-2347516</t>
  </si>
  <si>
    <t>asparagine--tRNA ligase</t>
  </si>
  <si>
    <t>0.02988 (0.06094)</t>
  </si>
  <si>
    <t>0.03101 (0.04205)</t>
  </si>
  <si>
    <t>ypmB</t>
  </si>
  <si>
    <t>2348867-2349349</t>
  </si>
  <si>
    <t>0.21804 (0.09119)</t>
  </si>
  <si>
    <t>0.08284 (0.00000)</t>
  </si>
  <si>
    <t>ypmA</t>
  </si>
  <si>
    <t>2349361-2349528</t>
  </si>
  <si>
    <t>panD</t>
  </si>
  <si>
    <t>2352595-2352975</t>
  </si>
  <si>
    <t>aspartate 1-decarboxylase</t>
  </si>
  <si>
    <t>panB</t>
  </si>
  <si>
    <t>2353842-2354672</t>
  </si>
  <si>
    <t>3-methyl-2-oxobutanoatehydroxymethyltransferase</t>
  </si>
  <si>
    <t>0.06421 (0.07033)</t>
  </si>
  <si>
    <t>0.03280 (0.04322)</t>
  </si>
  <si>
    <t>mgsA</t>
  </si>
  <si>
    <t>2358914-2359324</t>
  </si>
  <si>
    <t>methylglyoxal synthase</t>
  </si>
  <si>
    <t>0.02569 (0.04980)</t>
  </si>
  <si>
    <t>0.07555 (0.08421)</t>
  </si>
  <si>
    <t>ypjD</t>
  </si>
  <si>
    <t>2360158-2360490</t>
  </si>
  <si>
    <t>0.06153 (0.04647)</t>
  </si>
  <si>
    <t>0.03473 (0.02935)</t>
  </si>
  <si>
    <t>qcrC</t>
  </si>
  <si>
    <t>2363114-2363878</t>
  </si>
  <si>
    <t>menaquinol-cytochrome c reductase cytochrome b/csubunit</t>
  </si>
  <si>
    <t>0.00635 (0.01439)</t>
  </si>
  <si>
    <t>qcrB</t>
  </si>
  <si>
    <t>2363916-2364587</t>
  </si>
  <si>
    <t>menaquinol-cytochrome c reductase cytochrome bsubunit</t>
  </si>
  <si>
    <t>qcrA</t>
  </si>
  <si>
    <t>2364592-2365092</t>
  </si>
  <si>
    <t>menaquinol-cytochrome c reductase iron-sulfursubunit</t>
  </si>
  <si>
    <t>0.04796 (0.05714)</t>
  </si>
  <si>
    <t>trpA</t>
  </si>
  <si>
    <t>2371511-2372311</t>
  </si>
  <si>
    <t>tryptophan synthase alpha chain</t>
  </si>
  <si>
    <t>0.15038 (0.22158)</t>
  </si>
  <si>
    <t>0.30352 (0.00000)</t>
  </si>
  <si>
    <t>aroF</t>
  </si>
  <si>
    <t>2379103-2380272</t>
  </si>
  <si>
    <t>chorismate synthase</t>
  </si>
  <si>
    <t>0.00726 (0.00790)</t>
  </si>
  <si>
    <t>ndk</t>
  </si>
  <si>
    <t>2381357-2381803</t>
  </si>
  <si>
    <t>nucleoside diphosphate kinase</t>
  </si>
  <si>
    <t>0.05966 (0.04812)</t>
  </si>
  <si>
    <t>hepT</t>
  </si>
  <si>
    <t>2381922-2382965</t>
  </si>
  <si>
    <t>heptaprenyl diphosphate synthase component 2</t>
  </si>
  <si>
    <t>0.02072 (0.03859)</t>
  </si>
  <si>
    <t>0.00743 (0.00950)</t>
  </si>
  <si>
    <t>ubiE</t>
  </si>
  <si>
    <t>2382910-2383608</t>
  </si>
  <si>
    <t>demethylmenaquinone methyltransferase</t>
  </si>
  <si>
    <t>0.04595 (0.05374)</t>
  </si>
  <si>
    <t>0.09942 (0.08837)</t>
  </si>
  <si>
    <t>hepS</t>
  </si>
  <si>
    <t>2383618-2384370</t>
  </si>
  <si>
    <t>heptaprenyl diphosphate synthase component 1</t>
  </si>
  <si>
    <t>0.13397 (0.06926)</t>
  </si>
  <si>
    <t>mtrB</t>
  </si>
  <si>
    <t>2384537-2384761</t>
  </si>
  <si>
    <t>transcription attenuation protein MtrB</t>
  </si>
  <si>
    <t>0.06456 (0.00000)</t>
  </si>
  <si>
    <t>folE</t>
  </si>
  <si>
    <t>2384786-2385355</t>
  </si>
  <si>
    <t>GTP cyclohydrolase 1</t>
  </si>
  <si>
    <t>hbs</t>
  </si>
  <si>
    <t>2385546-2385821</t>
  </si>
  <si>
    <t>DNA-binding protein HU 1</t>
  </si>
  <si>
    <t>spoIVA</t>
  </si>
  <si>
    <t>2386198-2387673</t>
  </si>
  <si>
    <t>stage IV sporulation protein A</t>
  </si>
  <si>
    <t>0.00843 (0.01702)</t>
  </si>
  <si>
    <t>0.01594 (0.01019)</t>
  </si>
  <si>
    <t>yphE</t>
  </si>
  <si>
    <t>2388613-2388813</t>
  </si>
  <si>
    <t>0.20694 (0.00000)</t>
  </si>
  <si>
    <t>ypzI</t>
  </si>
  <si>
    <t>2393422-2393556</t>
  </si>
  <si>
    <t>rpsA</t>
  </si>
  <si>
    <t>2394667-2395812</t>
  </si>
  <si>
    <t>30S ribosomal protein S1</t>
  </si>
  <si>
    <t>0.01929 (0.01324)</t>
  </si>
  <si>
    <t>0.00942 (0.01249)</t>
  </si>
  <si>
    <t>ypfB</t>
  </si>
  <si>
    <t>2396801-2396974</t>
  </si>
  <si>
    <t>gudB</t>
  </si>
  <si>
    <t>2402070-2403350</t>
  </si>
  <si>
    <t>cryptic catabolic NAD-specific glutamatedehydrogenase GudB</t>
  </si>
  <si>
    <t>0.01122 (0.01754)</t>
  </si>
  <si>
    <t>0.02761 (0.00000)</t>
  </si>
  <si>
    <t>ypbH</t>
  </si>
  <si>
    <t>2403509-2404090</t>
  </si>
  <si>
    <t>adapter protein MecA</t>
  </si>
  <si>
    <t>0.33593 (0.24263)</t>
  </si>
  <si>
    <t>0.01878 (0.02323)</t>
  </si>
  <si>
    <t>fer</t>
  </si>
  <si>
    <t>2409729-2409974</t>
  </si>
  <si>
    <t>ferredoxin</t>
  </si>
  <si>
    <t>ypzE</t>
  </si>
  <si>
    <t>2410698-2410859</t>
  </si>
  <si>
    <t>sigX</t>
  </si>
  <si>
    <t>2414630-2415211</t>
  </si>
  <si>
    <t>RNA polymerase sigma factor SigX</t>
  </si>
  <si>
    <t>0.05113 (0.04989)</t>
  </si>
  <si>
    <t>resA</t>
  </si>
  <si>
    <t>2420807-2421343</t>
  </si>
  <si>
    <t>thiol-disulfide oxidoreductase ResA</t>
  </si>
  <si>
    <t>0.07163 (0.04492)</t>
  </si>
  <si>
    <t>0.04963 (0.00000)</t>
  </si>
  <si>
    <t>spmB</t>
  </si>
  <si>
    <t>2422267-2422800</t>
  </si>
  <si>
    <t>spore maturation protein B</t>
  </si>
  <si>
    <t>ypuI</t>
  </si>
  <si>
    <t>2424657-2425193</t>
  </si>
  <si>
    <t>0.10403 (0.00193)</t>
  </si>
  <si>
    <t>0.07741 (0.00000)</t>
  </si>
  <si>
    <t>spcB</t>
  </si>
  <si>
    <t>2425251-2425841</t>
  </si>
  <si>
    <t>segregation and condensation protein B</t>
  </si>
  <si>
    <t>0.00913 (0.02436)</t>
  </si>
  <si>
    <t>scpA</t>
  </si>
  <si>
    <t>2425834-2426586</t>
  </si>
  <si>
    <t>segregation and condensation protein A</t>
  </si>
  <si>
    <t>0.04442 (0.02725)</t>
  </si>
  <si>
    <t>0.06204 (0.05972)</t>
  </si>
  <si>
    <t>ypzK</t>
  </si>
  <si>
    <t>2427408-2427779</t>
  </si>
  <si>
    <t>riboflavin biosynthesis protein RibT</t>
  </si>
  <si>
    <t>ribH</t>
  </si>
  <si>
    <t>2427895-2428356</t>
  </si>
  <si>
    <t>6,7-dimethyl-8-ribityllumazine synthase</t>
  </si>
  <si>
    <t>ribA</t>
  </si>
  <si>
    <t>2428392-2429585</t>
  </si>
  <si>
    <t>riboflavin biosynthesis protein RibBA</t>
  </si>
  <si>
    <t>0.03198 (0.05075)</t>
  </si>
  <si>
    <t>ribE</t>
  </si>
  <si>
    <t>2429603-2430247</t>
  </si>
  <si>
    <t>riboflavin synthase</t>
  </si>
  <si>
    <t>0.21290 (0.05365)</t>
  </si>
  <si>
    <t>0.01326 (0.01559)</t>
  </si>
  <si>
    <t>ypuD</t>
  </si>
  <si>
    <t>2431740-2432081</t>
  </si>
  <si>
    <t>0.09303 (0.05469)</t>
  </si>
  <si>
    <t>0.10988 (0.00000)</t>
  </si>
  <si>
    <t>ppiB</t>
  </si>
  <si>
    <t>2435363-2435791</t>
  </si>
  <si>
    <t>peptidyl-prolyl cis-trans isomerase</t>
  </si>
  <si>
    <t>0.01115 (0.02488)</t>
  </si>
  <si>
    <t>spoVAEA</t>
  </si>
  <si>
    <t>2439807-2440415</t>
  </si>
  <si>
    <t>stage V sporulation protein AE</t>
  </si>
  <si>
    <t>0.09745 (0.18976)</t>
  </si>
  <si>
    <t>sigF</t>
  </si>
  <si>
    <t>2443432-2444196</t>
  </si>
  <si>
    <t>RNA polymerase sigma-F factor</t>
  </si>
  <si>
    <t>0.05507 (0.09495)</t>
  </si>
  <si>
    <t>spoIIAA</t>
  </si>
  <si>
    <t>2444648-2444998</t>
  </si>
  <si>
    <t>anti-sigma F factor antagonist</t>
  </si>
  <si>
    <t>0.03061 (0.00000)</t>
  </si>
  <si>
    <t>yqzK</t>
  </si>
  <si>
    <t>2449492-2449716</t>
  </si>
  <si>
    <t>fur</t>
  </si>
  <si>
    <t>2449844-2450290</t>
  </si>
  <si>
    <t>ferric uptake regulation protein</t>
  </si>
  <si>
    <t>0.08858 (0.13655)</t>
  </si>
  <si>
    <t>ansA</t>
  </si>
  <si>
    <t>2455822-2456808</t>
  </si>
  <si>
    <t>L-asparaginase 1</t>
  </si>
  <si>
    <t>0.01996 (0.01707)</t>
  </si>
  <si>
    <t>0.01057 (0.01392)</t>
  </si>
  <si>
    <t>yqkC</t>
  </si>
  <si>
    <t>2461624-2461860</t>
  </si>
  <si>
    <t>yqkB</t>
  </si>
  <si>
    <t>2461876-2462196</t>
  </si>
  <si>
    <t>yqjY</t>
  </si>
  <si>
    <t>2463574-2464041</t>
  </si>
  <si>
    <t>0.05440 (0.03948)</t>
  </si>
  <si>
    <t>yqjW</t>
  </si>
  <si>
    <t>2464565-2465800</t>
  </si>
  <si>
    <t>DNA polymerase IV 2</t>
  </si>
  <si>
    <t>0.04988 (0.06790)</t>
  </si>
  <si>
    <t>yqjI</t>
  </si>
  <si>
    <t>2480753-2482159</t>
  </si>
  <si>
    <t>6-phosphogluconate dehydrogenase</t>
  </si>
  <si>
    <t>0.00555 (0.01181)</t>
  </si>
  <si>
    <t>0.00575 (0.00646)</t>
  </si>
  <si>
    <t>yqjH</t>
  </si>
  <si>
    <t>2482272-2483513</t>
  </si>
  <si>
    <t>DNA polymerase IV 1</t>
  </si>
  <si>
    <t>yqzJ</t>
  </si>
  <si>
    <t>2483586-2483870</t>
  </si>
  <si>
    <t>0.03944 (0.06112)</t>
  </si>
  <si>
    <t>0.16689 (0.05721)</t>
  </si>
  <si>
    <t>artQ</t>
  </si>
  <si>
    <t>2491292-2491948</t>
  </si>
  <si>
    <t>arginine transport system permease protein ArtQ</t>
  </si>
  <si>
    <t>0.02912 (0.07487)</t>
  </si>
  <si>
    <t>artP</t>
  </si>
  <si>
    <t>2492032-2492796</t>
  </si>
  <si>
    <t>arginine-binding extracellular protein ArtP</t>
  </si>
  <si>
    <t>0.16851 (0.08267)</t>
  </si>
  <si>
    <t>0.05618 (0.04953)</t>
  </si>
  <si>
    <t>bkdAA</t>
  </si>
  <si>
    <t>2499093-2500082</t>
  </si>
  <si>
    <t>2-oxoisovalerate dehydrogenase subunit alpha</t>
  </si>
  <si>
    <t>0.02657 (0.04499)</t>
  </si>
  <si>
    <t>yqiH</t>
  </si>
  <si>
    <t>2515617-2515907</t>
  </si>
  <si>
    <t>0.20468 (0.22828)</t>
  </si>
  <si>
    <t>spo0A</t>
  </si>
  <si>
    <t>2518026-2518826</t>
  </si>
  <si>
    <t>stage 0 sporulation protein A</t>
  </si>
  <si>
    <t>0.02923 (0.02558)</t>
  </si>
  <si>
    <t>yqxC</t>
  </si>
  <si>
    <t>2522874-2523716</t>
  </si>
  <si>
    <t>rRNA methyltransferase YqxC</t>
  </si>
  <si>
    <t>0.05355 (0.08007)</t>
  </si>
  <si>
    <t>dxs</t>
  </si>
  <si>
    <t>2523716-2525614</t>
  </si>
  <si>
    <t>1-deoxy-D-xylulose-5-phosphate synthase</t>
  </si>
  <si>
    <t>0.02627 (0.02639)</t>
  </si>
  <si>
    <t>xseB</t>
  </si>
  <si>
    <t>2526672-2526923</t>
  </si>
  <si>
    <t>exodeoxyribonuclease 7 small subunit</t>
  </si>
  <si>
    <t>0.10671 (0.08311)</t>
  </si>
  <si>
    <t>folD</t>
  </si>
  <si>
    <t>2528407-2529255</t>
  </si>
  <si>
    <t>bifunctional protein FolD</t>
  </si>
  <si>
    <t>0.02132 (0.04230)</t>
  </si>
  <si>
    <t>0.01697 (0.01919)</t>
  </si>
  <si>
    <t>nusB</t>
  </si>
  <si>
    <t>2529270-2529662</t>
  </si>
  <si>
    <t>N utilization substance protein B</t>
  </si>
  <si>
    <t>yqhY</t>
  </si>
  <si>
    <t>2529929-2530333</t>
  </si>
  <si>
    <t>0.03054 (0.04479)</t>
  </si>
  <si>
    <t>0.02668 (0.03128)</t>
  </si>
  <si>
    <t>accC</t>
  </si>
  <si>
    <t>2530357-2531706</t>
  </si>
  <si>
    <t>acetyl-CoA carboxylase biotin carboxylasesubunit</t>
  </si>
  <si>
    <t>0.02622 (0.00984)</t>
  </si>
  <si>
    <t>0.01310 (0.01370)</t>
  </si>
  <si>
    <t>spoIIIAH</t>
  </si>
  <si>
    <t>2532356-2533009</t>
  </si>
  <si>
    <t>stage III sporulation protein AH</t>
  </si>
  <si>
    <t>0.05415 (0.07750)</t>
  </si>
  <si>
    <t>spoIIIAG</t>
  </si>
  <si>
    <t>2533013-2533699</t>
  </si>
  <si>
    <t>stage III sporulation protein AG</t>
  </si>
  <si>
    <t>0.11434 (0.04026)</t>
  </si>
  <si>
    <t>0.07071 (0.09071)</t>
  </si>
  <si>
    <t>spoIIIAF</t>
  </si>
  <si>
    <t>2533695-2534312</t>
  </si>
  <si>
    <t>stage III sporulation protein AF</t>
  </si>
  <si>
    <t>0.15654 (0.11849)</t>
  </si>
  <si>
    <t>0.10488 (0.00000)</t>
  </si>
  <si>
    <t>spoIIIAD</t>
  </si>
  <si>
    <t>2535547-2535945</t>
  </si>
  <si>
    <t>stage III sporulation protein AD</t>
  </si>
  <si>
    <t>spoIIIAC</t>
  </si>
  <si>
    <t>2535955-2536158</t>
  </si>
  <si>
    <t>stage III sporulation protein AC</t>
  </si>
  <si>
    <t>spoIIIAB</t>
  </si>
  <si>
    <t>2536184-2536696</t>
  </si>
  <si>
    <t>stage III sporulation protein AB</t>
  </si>
  <si>
    <t>0.11421 (0.11815)</t>
  </si>
  <si>
    <t>efp</t>
  </si>
  <si>
    <t>2538118-2538672</t>
  </si>
  <si>
    <t>elongation factor P</t>
  </si>
  <si>
    <t>0.01674 (0.02999)</t>
  </si>
  <si>
    <t>yqhT</t>
  </si>
  <si>
    <t>2538700-2539758</t>
  </si>
  <si>
    <t>peptidase YqhT</t>
  </si>
  <si>
    <t>0.08022 (0.12113)</t>
  </si>
  <si>
    <t>0.06111 (0.00000)</t>
  </si>
  <si>
    <t>yqhS</t>
  </si>
  <si>
    <t>2539758-2540201</t>
  </si>
  <si>
    <t>3-dehydroquinate dehydratase</t>
  </si>
  <si>
    <t>0.10996 (0.01287)</t>
  </si>
  <si>
    <t>0.06169 (0.02817)</t>
  </si>
  <si>
    <t>yqhP</t>
  </si>
  <si>
    <t>2542047-2542439</t>
  </si>
  <si>
    <t>0.12462 (0.09061)</t>
  </si>
  <si>
    <t>yqhO</t>
  </si>
  <si>
    <t>2542442-2543314</t>
  </si>
  <si>
    <t>0.08259 (0.02787)</t>
  </si>
  <si>
    <t>0.02640 (0.01143)</t>
  </si>
  <si>
    <t>mntR</t>
  </si>
  <si>
    <t>2543443-2543868</t>
  </si>
  <si>
    <t>transcriptional regulator MntR</t>
  </si>
  <si>
    <t>0.08849 (0.03428)</t>
  </si>
  <si>
    <t>yqhM</t>
  </si>
  <si>
    <t>2543971-2544804</t>
  </si>
  <si>
    <t>octanoyltransferase LipM</t>
  </si>
  <si>
    <t>0.03537 (0.03572)</t>
  </si>
  <si>
    <t>yqhL</t>
  </si>
  <si>
    <t>2544995-2545372</t>
  </si>
  <si>
    <t>0.14530 (0.00000)</t>
  </si>
  <si>
    <t>sinI</t>
  </si>
  <si>
    <t>2552446-2552616</t>
  </si>
  <si>
    <t>SinR antagonist SinI</t>
  </si>
  <si>
    <t>sinR</t>
  </si>
  <si>
    <t>2552653-2552985</t>
  </si>
  <si>
    <t>mgsR</t>
  </si>
  <si>
    <t>2564029-2564406</t>
  </si>
  <si>
    <t>regulatory protein MgsR</t>
  </si>
  <si>
    <t>0.03955 (0.06391)</t>
  </si>
  <si>
    <t>0.07002 (0.00000)</t>
  </si>
  <si>
    <t>yqgY</t>
  </si>
  <si>
    <t>2564638-2564880</t>
  </si>
  <si>
    <t>2574411-2574557</t>
  </si>
  <si>
    <t>yqzD</t>
  </si>
  <si>
    <t>2576367-2576717</t>
  </si>
  <si>
    <t>0.07366 (0.05209)</t>
  </si>
  <si>
    <t>pstS</t>
  </si>
  <si>
    <t>2580718-2581617</t>
  </si>
  <si>
    <t>phosphate-binding protein PstS</t>
  </si>
  <si>
    <t>0.04758 (0.01398)</t>
  </si>
  <si>
    <t>0.06912 (0.01670)</t>
  </si>
  <si>
    <t>sodA</t>
  </si>
  <si>
    <t>2585437-2586042</t>
  </si>
  <si>
    <t>superoxide dismutase</t>
  </si>
  <si>
    <t>0.03647 (0.02351)</t>
  </si>
  <si>
    <t>0.04882 (0.05011)</t>
  </si>
  <si>
    <t>ispG</t>
  </si>
  <si>
    <t>2589123-2590253</t>
  </si>
  <si>
    <t>4-hydroxy-3-methylbut-2-en-1-yl diphosphatesynthase (flavodoxin)</t>
  </si>
  <si>
    <t>0.02534 (0.05096)</t>
  </si>
  <si>
    <t>0.02250 (0.02890)</t>
  </si>
  <si>
    <t>sigA</t>
  </si>
  <si>
    <t>2600217-2601329</t>
  </si>
  <si>
    <t>RNA polymerase sigma factor RpoD</t>
  </si>
  <si>
    <t>dnaG</t>
  </si>
  <si>
    <t>2601531-2603339</t>
  </si>
  <si>
    <t>DNA primase</t>
  </si>
  <si>
    <t>0.04988 (0.07162)</t>
  </si>
  <si>
    <t>0.02537 (0.00000)</t>
  </si>
  <si>
    <t>antE</t>
  </si>
  <si>
    <t>2602979-2603272</t>
  </si>
  <si>
    <t>protein AntE</t>
  </si>
  <si>
    <t>1.67026 (2.78377)</t>
  </si>
  <si>
    <t>yqxD</t>
  </si>
  <si>
    <t>2603376-2603867</t>
  </si>
  <si>
    <t>0.10559 (0.03598)</t>
  </si>
  <si>
    <t>0.09150 (0.02799)</t>
  </si>
  <si>
    <t>yqfL</t>
  </si>
  <si>
    <t>2604124-2604933</t>
  </si>
  <si>
    <t>0.00907 (0.01136)</t>
  </si>
  <si>
    <t>ccpN</t>
  </si>
  <si>
    <t>2604962-2605597</t>
  </si>
  <si>
    <t>transcriptional repressor CcpN</t>
  </si>
  <si>
    <t>glyQ</t>
  </si>
  <si>
    <t>2607765-2608649</t>
  </si>
  <si>
    <t>glycine--tRNA ligase alpha subunit</t>
  </si>
  <si>
    <t>yqzL</t>
  </si>
  <si>
    <t>2609753-2609893</t>
  </si>
  <si>
    <t>era</t>
  </si>
  <si>
    <t>2610044-2610946</t>
  </si>
  <si>
    <t>GTPase Era</t>
  </si>
  <si>
    <t>0.03951 (0.02617)</t>
  </si>
  <si>
    <t>0.02062 (0.00000)</t>
  </si>
  <si>
    <t>cdd</t>
  </si>
  <si>
    <t>2610930-2611337</t>
  </si>
  <si>
    <t>cytidine deaminase</t>
  </si>
  <si>
    <t>0.04848 (0.03824)</t>
  </si>
  <si>
    <t>phoH</t>
  </si>
  <si>
    <t>2614499-2615455</t>
  </si>
  <si>
    <t>PhoH-like protein</t>
  </si>
  <si>
    <t>0.02285 (0.04160)</t>
  </si>
  <si>
    <t>0.19671 (0.00000)</t>
  </si>
  <si>
    <t>yqfD</t>
  </si>
  <si>
    <t>2615455-2616648</t>
  </si>
  <si>
    <t>0.05022 (0.04400)</t>
  </si>
  <si>
    <t>0.09197 (0.08670)</t>
  </si>
  <si>
    <t>yqfC</t>
  </si>
  <si>
    <t>2616670-2616948</t>
  </si>
  <si>
    <t>yqeY</t>
  </si>
  <si>
    <t>2619913-2620356</t>
  </si>
  <si>
    <t>rpsU</t>
  </si>
  <si>
    <t>2620374-2620544</t>
  </si>
  <si>
    <t>30S ribosomal protein S21</t>
  </si>
  <si>
    <t>yqeU</t>
  </si>
  <si>
    <t>2623035-2623802</t>
  </si>
  <si>
    <t>ribosomal RNA small subunit methyltransferase E</t>
  </si>
  <si>
    <t>0.11155 (0.06279)</t>
  </si>
  <si>
    <t>0.27208 (0.32654)</t>
  </si>
  <si>
    <t>prmA</t>
  </si>
  <si>
    <t>2623828-2624760</t>
  </si>
  <si>
    <t>ribosomal protein L11 methyltransferase</t>
  </si>
  <si>
    <t>0.02090 (0.05352)</t>
  </si>
  <si>
    <t>dnaJ</t>
  </si>
  <si>
    <t>2624788-2625912</t>
  </si>
  <si>
    <t>chaperone protein DnaJ</t>
  </si>
  <si>
    <t>0.01960 (0.04803)</t>
  </si>
  <si>
    <t>dnaK</t>
  </si>
  <si>
    <t>2626115-2627947</t>
  </si>
  <si>
    <t>chaperone protein DnaK</t>
  </si>
  <si>
    <t>0.00554 (0.01005)</t>
  </si>
  <si>
    <t>0.03161 (0.01001)</t>
  </si>
  <si>
    <t>grpE</t>
  </si>
  <si>
    <t>2627974-2628534</t>
  </si>
  <si>
    <t>heat shock protein GrpE</t>
  </si>
  <si>
    <t>0.03954 (0.04243)</t>
  </si>
  <si>
    <t>0.06867 (0.00000)</t>
  </si>
  <si>
    <t>hrcA</t>
  </si>
  <si>
    <t>2628609-2629637</t>
  </si>
  <si>
    <t>heat-inducible transcription repressor HrcA</t>
  </si>
  <si>
    <t>0.00956 (0.01785)</t>
  </si>
  <si>
    <t>0.00873 (0.01032)</t>
  </si>
  <si>
    <t>rpsT</t>
  </si>
  <si>
    <t>2635815-2636078</t>
  </si>
  <si>
    <t>30S ribosomal protein S20</t>
  </si>
  <si>
    <t>holA</t>
  </si>
  <si>
    <t>2636099-2637139</t>
  </si>
  <si>
    <t>0.03561 (0.00950)</t>
  </si>
  <si>
    <t>0.03778 (0.02090)</t>
  </si>
  <si>
    <t>yqzM</t>
  </si>
  <si>
    <t>2637369-2637500</t>
  </si>
  <si>
    <t>0.09542 (0.15903)</t>
  </si>
  <si>
    <t>comER</t>
  </si>
  <si>
    <t>2641214-2642032</t>
  </si>
  <si>
    <t>ComE operon protein 4</t>
  </si>
  <si>
    <t>0.03905 (0.02592)</t>
  </si>
  <si>
    <t>nadD</t>
  </si>
  <si>
    <t>2643768-2644334</t>
  </si>
  <si>
    <t>nicotinate-nucleotide adenylyltransferase</t>
  </si>
  <si>
    <t>0.03086 (0.05937)</t>
  </si>
  <si>
    <t>0.06154 (0.02651)</t>
  </si>
  <si>
    <t>yqeI</t>
  </si>
  <si>
    <t>2644349-2644636</t>
  </si>
  <si>
    <t>RNA-binding protein YqeI</t>
  </si>
  <si>
    <t>0.10716 (0.03602)</t>
  </si>
  <si>
    <t>yqeG</t>
  </si>
  <si>
    <t>2646597-2647112</t>
  </si>
  <si>
    <t>sda</t>
  </si>
  <si>
    <t>2647456-2647611</t>
  </si>
  <si>
    <t>sporulation inhibitor sda</t>
  </si>
  <si>
    <t>phrE</t>
  </si>
  <si>
    <t>2660330-2660461</t>
  </si>
  <si>
    <t>phosphatase RapE inhibitor</t>
  </si>
  <si>
    <t>yrpG</t>
  </si>
  <si>
    <t>2742909-2743886</t>
  </si>
  <si>
    <t>oxidoreductase</t>
  </si>
  <si>
    <t>0.07497 (0.10090)</t>
  </si>
  <si>
    <t>yraL</t>
  </si>
  <si>
    <t>2749260-2749520</t>
  </si>
  <si>
    <t>1.44612 (0.53699)</t>
  </si>
  <si>
    <t>0.28653 (0.00000)</t>
  </si>
  <si>
    <t>levD</t>
  </si>
  <si>
    <t>2762398-2762835</t>
  </si>
  <si>
    <t>PTS system-fructose-specific transporter subunitIIA</t>
  </si>
  <si>
    <t>0.26794 (0.17464)</t>
  </si>
  <si>
    <t>0.09290 (0.11087)</t>
  </si>
  <si>
    <t>sigV</t>
  </si>
  <si>
    <t>2769850-2770347</t>
  </si>
  <si>
    <t>RNA polymerase sigma factor SigV</t>
  </si>
  <si>
    <t>168 , RONN1 , SpizTUB10 , W23</t>
  </si>
  <si>
    <t>0.13013 (0.08695)</t>
  </si>
  <si>
    <t>0.09370 (0.00000)</t>
  </si>
  <si>
    <t>yrzI</t>
  </si>
  <si>
    <t>2778926-2779072</t>
  </si>
  <si>
    <t>0.05494 (0.06772)</t>
  </si>
  <si>
    <t>yrzA</t>
  </si>
  <si>
    <t>2788680-2788880</t>
  </si>
  <si>
    <t>0.19541 (0.34279)</t>
  </si>
  <si>
    <t>0.06350 (0.05669)</t>
  </si>
  <si>
    <t>greA</t>
  </si>
  <si>
    <t>2791497-2791967</t>
  </si>
  <si>
    <t>transcription elongation factor GreA</t>
  </si>
  <si>
    <t>0.01556 (0.01592)</t>
  </si>
  <si>
    <t>udk</t>
  </si>
  <si>
    <t>2792221-2792853</t>
  </si>
  <si>
    <t>uridine kinase</t>
  </si>
  <si>
    <t>yrrO</t>
  </si>
  <si>
    <t>2792863-2794128</t>
  </si>
  <si>
    <t>protease YrrO</t>
  </si>
  <si>
    <t>0.02806 (0.03069)</t>
  </si>
  <si>
    <t>yrrN</t>
  </si>
  <si>
    <t>2794150-2795076</t>
  </si>
  <si>
    <t>protease YrrN</t>
  </si>
  <si>
    <t>0.06190 (0.02367)</t>
  </si>
  <si>
    <t>0.02037 (0.02256)</t>
  </si>
  <si>
    <t>yrrM</t>
  </si>
  <si>
    <t>2795085-2795735</t>
  </si>
  <si>
    <t>O-methyltransferase YrrM</t>
  </si>
  <si>
    <t>0.09054 (0.05143)</t>
  </si>
  <si>
    <t>0.06333 (0.01423)</t>
  </si>
  <si>
    <t>yrzB</t>
  </si>
  <si>
    <t>2797103-2797381</t>
  </si>
  <si>
    <t>0.07088 (0.05974)</t>
  </si>
  <si>
    <t>0.05871 (0.05230)</t>
  </si>
  <si>
    <t>yrrK</t>
  </si>
  <si>
    <t>2797402-2797815</t>
  </si>
  <si>
    <t>Holliday junction resolvase</t>
  </si>
  <si>
    <t>0.05730 (0.00000)</t>
  </si>
  <si>
    <t>yrzL</t>
  </si>
  <si>
    <t>2797826-2798089</t>
  </si>
  <si>
    <t>yrzQ</t>
  </si>
  <si>
    <t>2805351-2805479</t>
  </si>
  <si>
    <t>yrzR</t>
  </si>
  <si>
    <t>2805504-2805692</t>
  </si>
  <si>
    <t>yrrD</t>
  </si>
  <si>
    <t>2805707-2806228</t>
  </si>
  <si>
    <t>0.11917 (0.10197)</t>
  </si>
  <si>
    <t>0.12048 (0.02628)</t>
  </si>
  <si>
    <t>cymR</t>
  </si>
  <si>
    <t>2811720-2812133</t>
  </si>
  <si>
    <t>Rrf2 family transcriptional regulator</t>
  </si>
  <si>
    <t>hisS</t>
  </si>
  <si>
    <t>2816538-2817809</t>
  </si>
  <si>
    <t>histidine--tRNA ligase</t>
  </si>
  <si>
    <t>0.05789 (0.04882)</t>
  </si>
  <si>
    <t>0.07218 (0.00000)</t>
  </si>
  <si>
    <t>yrzK</t>
  </si>
  <si>
    <t>2818194-2818361</t>
  </si>
  <si>
    <t>0.05238 (0.05121)</t>
  </si>
  <si>
    <t>0.17705 (0.00000)</t>
  </si>
  <si>
    <t>yrvI</t>
  </si>
  <si>
    <t>2820080-2820475</t>
  </si>
  <si>
    <t>D-tyrosyl-tRNA(Tyr) deacylase</t>
  </si>
  <si>
    <t>0.12277 (0.15054)</t>
  </si>
  <si>
    <t>0.14402 (0.16065)</t>
  </si>
  <si>
    <t>relA</t>
  </si>
  <si>
    <t>2820532-2822733</t>
  </si>
  <si>
    <t>GTP pyrophosphokinase</t>
  </si>
  <si>
    <t>0.00356 (0.00652)</t>
  </si>
  <si>
    <t>0.01137 (0.01334)</t>
  </si>
  <si>
    <t>apt</t>
  </si>
  <si>
    <t>2822904-2823413</t>
  </si>
  <si>
    <t>adenine phosphoribosyltransferase</t>
  </si>
  <si>
    <t>0.15773 (0.07043)</t>
  </si>
  <si>
    <t>0.02281 (0.00000)</t>
  </si>
  <si>
    <t>comN</t>
  </si>
  <si>
    <t>2829155-2829448</t>
  </si>
  <si>
    <t>post-transcriptional regulator</t>
  </si>
  <si>
    <t>0.16933 (0.14993)</t>
  </si>
  <si>
    <t>yajC</t>
  </si>
  <si>
    <t>2832427-2832690</t>
  </si>
  <si>
    <t>preprotein translocase subunit YajC</t>
  </si>
  <si>
    <t>0.15557 (0.11000)</t>
  </si>
  <si>
    <t>0.20360 (0.00000)</t>
  </si>
  <si>
    <t>tgt</t>
  </si>
  <si>
    <t>2832730-2833872</t>
  </si>
  <si>
    <t>queuine tRNA-ribosyltransferase</t>
  </si>
  <si>
    <t>0.00450 (0.01171)</t>
  </si>
  <si>
    <t>yrzS</t>
  </si>
  <si>
    <t>2834960-2835157</t>
  </si>
  <si>
    <t>0.05637 (0.09706)</t>
  </si>
  <si>
    <t>yrzF</t>
  </si>
  <si>
    <t>2840110-2840754</t>
  </si>
  <si>
    <t>pheB</t>
  </si>
  <si>
    <t>2852160-2852600</t>
  </si>
  <si>
    <t>obgE</t>
  </si>
  <si>
    <t>2852664-2853947</t>
  </si>
  <si>
    <t>GTPase ObgE</t>
  </si>
  <si>
    <t>0.02545 (0.00627)</t>
  </si>
  <si>
    <t>0.06199 (0.01330)</t>
  </si>
  <si>
    <t>spo0B</t>
  </si>
  <si>
    <t>2853984-2854559</t>
  </si>
  <si>
    <t>sporulation initiation phosphotransferase B</t>
  </si>
  <si>
    <t>0.02350 (0.04507)</t>
  </si>
  <si>
    <t>0.04296 (0.03386)</t>
  </si>
  <si>
    <t>rpmA</t>
  </si>
  <si>
    <t>2854883-2855164</t>
  </si>
  <si>
    <t>50S ribosomal protein L27</t>
  </si>
  <si>
    <t>ysxB</t>
  </si>
  <si>
    <t>2855180-2855515</t>
  </si>
  <si>
    <t>0.10023 (0.05228)</t>
  </si>
  <si>
    <t>rplU</t>
  </si>
  <si>
    <t>2855521-2855826</t>
  </si>
  <si>
    <t>50S ribosomal protein L21</t>
  </si>
  <si>
    <t>0.17424 (0.10633)</t>
  </si>
  <si>
    <t>minD</t>
  </si>
  <si>
    <t>2857779-2858582</t>
  </si>
  <si>
    <t>septum site-determining protein MinD</t>
  </si>
  <si>
    <t>0.03687 (0.02601)</t>
  </si>
  <si>
    <t>0.03608 (0.04024)</t>
  </si>
  <si>
    <t>minC</t>
  </si>
  <si>
    <t>2858587-2859264</t>
  </si>
  <si>
    <t>septum site-determining protein MinC</t>
  </si>
  <si>
    <t>0.02053 (0.03883)</t>
  </si>
  <si>
    <t>0.09440 (0.08412)</t>
  </si>
  <si>
    <t>mreC</t>
  </si>
  <si>
    <t>2859835-2860704</t>
  </si>
  <si>
    <t>cell shape-determining protein MreC</t>
  </si>
  <si>
    <t>0.01317 (0.01201)</t>
  </si>
  <si>
    <t>mreB</t>
  </si>
  <si>
    <t>2860738-2861748</t>
  </si>
  <si>
    <t>rod shape-determining protein MreB</t>
  </si>
  <si>
    <t>0.01168 (0.02359)</t>
  </si>
  <si>
    <t>0.01464 (0.01725)</t>
  </si>
  <si>
    <t>radC</t>
  </si>
  <si>
    <t>2861843-2862535</t>
  </si>
  <si>
    <t>0.05935 (0.11361)</t>
  </si>
  <si>
    <t>maf</t>
  </si>
  <si>
    <t>2862575-2863141</t>
  </si>
  <si>
    <t>septum formation protein Maf</t>
  </si>
  <si>
    <t>0.21916 (0.28146)</t>
  </si>
  <si>
    <t>0.08539 (0.10755)</t>
  </si>
  <si>
    <t>yszA</t>
  </si>
  <si>
    <t>2869754-2869942</t>
  </si>
  <si>
    <t>hemB</t>
  </si>
  <si>
    <t>2874205-2875176</t>
  </si>
  <si>
    <t>delta-aminolevulinic acid dehydratase</t>
  </si>
  <si>
    <t>0.03642 (0.03421)</t>
  </si>
  <si>
    <t>hemX</t>
  </si>
  <si>
    <t>2876931-2877758</t>
  </si>
  <si>
    <t>protein HemX</t>
  </si>
  <si>
    <t>hemA</t>
  </si>
  <si>
    <t>2877769-2879133</t>
  </si>
  <si>
    <t>glutamyl-tRNA reductase</t>
  </si>
  <si>
    <t>0.03182 (0.01577)</t>
  </si>
  <si>
    <t>0.02147 (0.02609)</t>
  </si>
  <si>
    <t>clpX</t>
  </si>
  <si>
    <t>2884784-2886043</t>
  </si>
  <si>
    <t>ATP-dependent Clp protease ATP-binding subunitClpX</t>
  </si>
  <si>
    <t>0.00743 (0.00999)</t>
  </si>
  <si>
    <t>tig</t>
  </si>
  <si>
    <t>2886318-2887589</t>
  </si>
  <si>
    <t>trigger factor</t>
  </si>
  <si>
    <t>0.04673 (0.02641)</t>
  </si>
  <si>
    <t>0.08251 (0.02783)</t>
  </si>
  <si>
    <t>leuD</t>
  </si>
  <si>
    <t>2888943-2889539</t>
  </si>
  <si>
    <t>3-isopropylmalate dehydratase small subunit</t>
  </si>
  <si>
    <t>0.06595 (0.07319)</t>
  </si>
  <si>
    <t>0.12985 (0.00000)</t>
  </si>
  <si>
    <t>leuC</t>
  </si>
  <si>
    <t>2889555-2890970</t>
  </si>
  <si>
    <t>3-isopropylmalate dehydratase large subunit</t>
  </si>
  <si>
    <t>0.04750 (0.03056)</t>
  </si>
  <si>
    <t>0.01111 (0.01298)</t>
  </si>
  <si>
    <t>ilvC</t>
  </si>
  <si>
    <t>2893684-2894709</t>
  </si>
  <si>
    <t>ketol-acid reductoisomerase</t>
  </si>
  <si>
    <t>0.01501 (0.02264)</t>
  </si>
  <si>
    <t>ilvH</t>
  </si>
  <si>
    <t>2894736-2895251</t>
  </si>
  <si>
    <t>acetolactate synthase small subunit</t>
  </si>
  <si>
    <t>0.03696 (0.04499)</t>
  </si>
  <si>
    <t>ysnB</t>
  </si>
  <si>
    <t>2900023-2900529</t>
  </si>
  <si>
    <t>metallophosphoesterase</t>
  </si>
  <si>
    <t>0.15411 (0.12058)</t>
  </si>
  <si>
    <t>ysmB</t>
  </si>
  <si>
    <t>2904046-2904483</t>
  </si>
  <si>
    <t>0.03389 (0.05516)</t>
  </si>
  <si>
    <t>0.03745 (0.00000)</t>
  </si>
  <si>
    <t>gerE</t>
  </si>
  <si>
    <t>2904730-2904951</t>
  </si>
  <si>
    <t>spore germination protein GerE</t>
  </si>
  <si>
    <t>sdhA</t>
  </si>
  <si>
    <t>2906338-2908095</t>
  </si>
  <si>
    <t>succinate dehydrogenase flavoprotein subunit</t>
  </si>
  <si>
    <t>0.01460 (0.01344)</t>
  </si>
  <si>
    <t>0.00407 (0.00438)</t>
  </si>
  <si>
    <t>sdhC</t>
  </si>
  <si>
    <t>2908132-2908737</t>
  </si>
  <si>
    <t>succinate dehydrogenase cytochrome b558 subunit</t>
  </si>
  <si>
    <t>yslB</t>
  </si>
  <si>
    <t>2909030-2909473</t>
  </si>
  <si>
    <t>0.03180 (0.05387)</t>
  </si>
  <si>
    <t>trxA</t>
  </si>
  <si>
    <t>2913027-2913338</t>
  </si>
  <si>
    <t>etfB</t>
  </si>
  <si>
    <t>2916381-2917151</t>
  </si>
  <si>
    <t>electron transfer flavoprotein subunit beta</t>
  </si>
  <si>
    <t>0.02879 (0.02832)</t>
  </si>
  <si>
    <t>0.03381 (0.04431)</t>
  </si>
  <si>
    <t>yshE</t>
  </si>
  <si>
    <t>2920520-2920921</t>
  </si>
  <si>
    <t>0.09590 (0.00000)</t>
  </si>
  <si>
    <t>yshB</t>
  </si>
  <si>
    <t>2925103-2925633</t>
  </si>
  <si>
    <t>transmembrane protein YshB</t>
  </si>
  <si>
    <t>0.03791 (0.02779)</t>
  </si>
  <si>
    <t>0.11475 (0.00000)</t>
  </si>
  <si>
    <t>yshA</t>
  </si>
  <si>
    <t>2925643-2925897</t>
  </si>
  <si>
    <t>cell division protein ZapA</t>
  </si>
  <si>
    <t>0.13495 (0.19479)</t>
  </si>
  <si>
    <t>0.26991 (0.00000)</t>
  </si>
  <si>
    <t>pheS</t>
  </si>
  <si>
    <t>2929441-2930472</t>
  </si>
  <si>
    <t>phenylalanine--tRNA ligase alpha subunit</t>
  </si>
  <si>
    <t>0.03463 (0.01633)</t>
  </si>
  <si>
    <t>0.01628 (0.01937)</t>
  </si>
  <si>
    <t>sspI</t>
  </si>
  <si>
    <t>2931692-2931904</t>
  </si>
  <si>
    <t>small acid-soluble spore protein I</t>
  </si>
  <si>
    <t>araQ</t>
  </si>
  <si>
    <t>2939854-2940696</t>
  </si>
  <si>
    <t>L-arabinose transport system permease proteinAraQ</t>
  </si>
  <si>
    <t>0.03369 (0.01694)</t>
  </si>
  <si>
    <t>0.02827 (0.00732)</t>
  </si>
  <si>
    <t>araP</t>
  </si>
  <si>
    <t>2940700-2941638</t>
  </si>
  <si>
    <t>L-arabinose transport system permease proteinAraP</t>
  </si>
  <si>
    <t>0.03321 (0.02685)</t>
  </si>
  <si>
    <t>0.01658 (0.01912)</t>
  </si>
  <si>
    <t>ysdB</t>
  </si>
  <si>
    <t>2951490-2951879</t>
  </si>
  <si>
    <t>sigma-W pathway protein YsdB</t>
  </si>
  <si>
    <t>0.04428 (0.05551)</t>
  </si>
  <si>
    <t>0.02030 (0.00000)</t>
  </si>
  <si>
    <t>rplT</t>
  </si>
  <si>
    <t>2952227-2952583</t>
  </si>
  <si>
    <t>50S ribosomal protein L20</t>
  </si>
  <si>
    <t>rpmI</t>
  </si>
  <si>
    <t>2952618-2952815</t>
  </si>
  <si>
    <t>50S ribosomal protein L35</t>
  </si>
  <si>
    <t>infC</t>
  </si>
  <si>
    <t>2952831-2953349</t>
  </si>
  <si>
    <t>translation initiation factor IF-3</t>
  </si>
  <si>
    <t>ysbA</t>
  </si>
  <si>
    <t>2955212-2955649</t>
  </si>
  <si>
    <t>antiholin-like protein LrgA</t>
  </si>
  <si>
    <t>0.03634 (0.06583)</t>
  </si>
  <si>
    <t>0.16463 (0.00000)</t>
  </si>
  <si>
    <t>thrS</t>
  </si>
  <si>
    <t>2959260-2961188</t>
  </si>
  <si>
    <t>threonine--tRNA ligase 1</t>
  </si>
  <si>
    <t>0.01405 (0.00666)</t>
  </si>
  <si>
    <t>0.01620 (0.00955)</t>
  </si>
  <si>
    <t>nrdR</t>
  </si>
  <si>
    <t>2965684-2966139</t>
  </si>
  <si>
    <t>transcriptional repressor NrdR</t>
  </si>
  <si>
    <t>speD</t>
  </si>
  <si>
    <t>2966416-2966793</t>
  </si>
  <si>
    <t>S-adenosylmethionine decarboxylase proenzyme</t>
  </si>
  <si>
    <t>ytcD</t>
  </si>
  <si>
    <t>2968263-2968640</t>
  </si>
  <si>
    <t>0.04448 (0.04449)</t>
  </si>
  <si>
    <t>ytaF</t>
  </si>
  <si>
    <t>2971534-2972163</t>
  </si>
  <si>
    <t>0.06451 (0.05757)</t>
  </si>
  <si>
    <t>phoP</t>
  </si>
  <si>
    <t>2977803-2978522</t>
  </si>
  <si>
    <t>alkaline phosphatase synthesis transcriptionalregulatory protein PhoP</t>
  </si>
  <si>
    <t>0.04139 (0.03723)</t>
  </si>
  <si>
    <t>0.02597 (0.03349)</t>
  </si>
  <si>
    <t>mdh</t>
  </si>
  <si>
    <t>2978737-2979672</t>
  </si>
  <si>
    <t>malate dehydrogenase</t>
  </si>
  <si>
    <t>0.02866 (0.02288)</t>
  </si>
  <si>
    <t>0.01885 (0.02382)</t>
  </si>
  <si>
    <t>icd</t>
  </si>
  <si>
    <t>2979719-2980987</t>
  </si>
  <si>
    <t>isocitrate dehydrogenase</t>
  </si>
  <si>
    <t>0.05097 (0.03995)</t>
  </si>
  <si>
    <t>citZ</t>
  </si>
  <si>
    <t>2981154-2982269</t>
  </si>
  <si>
    <t>citrate synthase 2</t>
  </si>
  <si>
    <t>0.04806 (0.03501)</t>
  </si>
  <si>
    <t>0.03670 (0.00000)</t>
  </si>
  <si>
    <t>pfkA</t>
  </si>
  <si>
    <t>2986591-2987547</t>
  </si>
  <si>
    <t>6-phosphofructokinase</t>
  </si>
  <si>
    <t>0.02055 (0.02248)</t>
  </si>
  <si>
    <t>accA</t>
  </si>
  <si>
    <t>2987734-2988708</t>
  </si>
  <si>
    <t>acetyl-CoA carboxylase carboxyltransferasesubunit alpha</t>
  </si>
  <si>
    <t>0.06911 (0.05158)</t>
  </si>
  <si>
    <t>0.01120 (0.01091)</t>
  </si>
  <si>
    <t>accD</t>
  </si>
  <si>
    <t>2988696-2989565</t>
  </si>
  <si>
    <t>acetyl-CoA carboxylase carboxyltransferasesubunit beta</t>
  </si>
  <si>
    <t>0.03830 (0.02351)</t>
  </si>
  <si>
    <t>0.01448 (0.01354)</t>
  </si>
  <si>
    <t>ytrI</t>
  </si>
  <si>
    <t>2995067-2995594</t>
  </si>
  <si>
    <t>sporulation protein</t>
  </si>
  <si>
    <t>0.03767 (0.02961)</t>
  </si>
  <si>
    <t>ytzJ</t>
  </si>
  <si>
    <t>2995699-2995887</t>
  </si>
  <si>
    <t>0.06637 (0.00000)</t>
  </si>
  <si>
    <t>nrnA</t>
  </si>
  <si>
    <t>2995911-2996849</t>
  </si>
  <si>
    <t>bifunctional oligoribonuclease/PAP phosphataseNrnA</t>
  </si>
  <si>
    <t>0.06721 (0.08177)</t>
  </si>
  <si>
    <t>0.02638 (0.03142)</t>
  </si>
  <si>
    <t>ytpI</t>
  </si>
  <si>
    <t>2996980-2997279</t>
  </si>
  <si>
    <t>0.16076 (0.23204)</t>
  </si>
  <si>
    <t>0.15148 (0.00000)</t>
  </si>
  <si>
    <t>ytkL</t>
  </si>
  <si>
    <t>3009918-3010598</t>
  </si>
  <si>
    <t>metal-dependent hydrolase</t>
  </si>
  <si>
    <t>0.02552 (0.04963)</t>
  </si>
  <si>
    <t>fabG</t>
  </si>
  <si>
    <t>3010664-3011428</t>
  </si>
  <si>
    <t>0.02389 (0.02012)</t>
  </si>
  <si>
    <t>0.01942 (0.02419)</t>
  </si>
  <si>
    <t>ytzD</t>
  </si>
  <si>
    <t>3011558-3011689</t>
  </si>
  <si>
    <t>0.78994 (0.00000)</t>
  </si>
  <si>
    <t>argG</t>
  </si>
  <si>
    <t>3013136-3014344</t>
  </si>
  <si>
    <t>argininosuccinate synthase</t>
  </si>
  <si>
    <t>0.02313 (0.02381)</t>
  </si>
  <si>
    <t>ackA</t>
  </si>
  <si>
    <t>3015114-3016298</t>
  </si>
  <si>
    <t>acetate kinase</t>
  </si>
  <si>
    <t>tpx</t>
  </si>
  <si>
    <t>3017699-3018199</t>
  </si>
  <si>
    <t>2-Cys peroxiredoxin</t>
  </si>
  <si>
    <t>0.07663 (0.12748)</t>
  </si>
  <si>
    <t>ytfJ</t>
  </si>
  <si>
    <t>3018312-3018764</t>
  </si>
  <si>
    <t>spore protein YtfJ</t>
  </si>
  <si>
    <t>0.01132 (0.02432)</t>
  </si>
  <si>
    <t>sspA</t>
  </si>
  <si>
    <t>3025448-3025654</t>
  </si>
  <si>
    <t>small acid-soluble spore protein A</t>
  </si>
  <si>
    <t>yttP</t>
  </si>
  <si>
    <t>3032420-3033040</t>
  </si>
  <si>
    <t>0.02526 (0.05995)</t>
  </si>
  <si>
    <t>0.04514 (0.05450)</t>
  </si>
  <si>
    <t>rpsD</t>
  </si>
  <si>
    <t>3035730-3036329</t>
  </si>
  <si>
    <t>30S ribosomal protein S4</t>
  </si>
  <si>
    <t>0.10640 (0.08370)</t>
  </si>
  <si>
    <t>ytzK</t>
  </si>
  <si>
    <t>3038063-3038203</t>
  </si>
  <si>
    <t>acuA</t>
  </si>
  <si>
    <t>3040092-3040721</t>
  </si>
  <si>
    <t>acetoin utilization protein AcuA</t>
  </si>
  <si>
    <t>0.05524 (0.04309)</t>
  </si>
  <si>
    <t>0.08364 (0.10226)</t>
  </si>
  <si>
    <t>acuB</t>
  </si>
  <si>
    <t>3040751-3041392</t>
  </si>
  <si>
    <t>acetoin utilization protein AcuB</t>
  </si>
  <si>
    <t>0.08420 (0.04339)</t>
  </si>
  <si>
    <t>0.08583 (0.10955)</t>
  </si>
  <si>
    <t>ccpA</t>
  </si>
  <si>
    <t>3044168-3045169</t>
  </si>
  <si>
    <t>catabolite control protein A</t>
  </si>
  <si>
    <t>0.01296 (0.01066)</t>
  </si>
  <si>
    <t>0.04416 (0.02388)</t>
  </si>
  <si>
    <t>aroA</t>
  </si>
  <si>
    <t>3045448-3046521</t>
  </si>
  <si>
    <t>5-enolpyruvylshikimate-3-phosphate synthetaseAroA</t>
  </si>
  <si>
    <t>ytxG</t>
  </si>
  <si>
    <t>3047596-3048015</t>
  </si>
  <si>
    <t>0.04826 (0.08767)</t>
  </si>
  <si>
    <t>murC</t>
  </si>
  <si>
    <t>3048180-3049475</t>
  </si>
  <si>
    <t>UDP-N-acetylmuramate--L-alanine ligase</t>
  </si>
  <si>
    <t>0.02123 (0.03677)</t>
  </si>
  <si>
    <t>0.04031 (0.00000)</t>
  </si>
  <si>
    <t>ytpQ</t>
  </si>
  <si>
    <t>3053367-3054173</t>
  </si>
  <si>
    <t>0.03314 (0.04043)</t>
  </si>
  <si>
    <t>ytpP</t>
  </si>
  <si>
    <t>3054191-3054511</t>
  </si>
  <si>
    <t>0.05015 (0.06228)</t>
  </si>
  <si>
    <t>ytoQ</t>
  </si>
  <si>
    <t>3054746-3055189</t>
  </si>
  <si>
    <t>0.04495 (0.04704)</t>
  </si>
  <si>
    <t>ytzB</t>
  </si>
  <si>
    <t>3056479-3056793</t>
  </si>
  <si>
    <t>0.02306 (0.04312)</t>
  </si>
  <si>
    <t>trmB</t>
  </si>
  <si>
    <t>3059550-3060188</t>
  </si>
  <si>
    <t>tRNA (guanine-N(7)-)-methyltransferase</t>
  </si>
  <si>
    <t>0.01895 (0.02308)</t>
  </si>
  <si>
    <t>0.27618 (0.00000)</t>
  </si>
  <si>
    <t>ytzH</t>
  </si>
  <si>
    <t>3060395-3060670</t>
  </si>
  <si>
    <t>0.04271 (0.05359)</t>
  </si>
  <si>
    <t>ytmP</t>
  </si>
  <si>
    <t>3060677-3061288</t>
  </si>
  <si>
    <t>phosphotransferase YtmP</t>
  </si>
  <si>
    <t>0.02064 (0.02441)</t>
  </si>
  <si>
    <t>ytzE</t>
  </si>
  <si>
    <t>3072401-3072619</t>
  </si>
  <si>
    <t>yteV</t>
  </si>
  <si>
    <t>3078396-3078575</t>
  </si>
  <si>
    <t>sporulation protein cse60</t>
  </si>
  <si>
    <t>yteP</t>
  </si>
  <si>
    <t>3082263-3083225</t>
  </si>
  <si>
    <t>multiple-sugar transport system permease YteP</t>
  </si>
  <si>
    <t>0.04539 (0.01242)</t>
  </si>
  <si>
    <t>0.04536 (0.01977)</t>
  </si>
  <si>
    <t>ytcP</t>
  </si>
  <si>
    <t>3087324-3088181</t>
  </si>
  <si>
    <t>0.02474 (0.04908)</t>
  </si>
  <si>
    <t>ytwF</t>
  </si>
  <si>
    <t>3102204-3102512</t>
  </si>
  <si>
    <t>0.09963 (0.14912)</t>
  </si>
  <si>
    <t>leuS</t>
  </si>
  <si>
    <t>3102632-3105043</t>
  </si>
  <si>
    <t>leucine--tRNA ligase</t>
  </si>
  <si>
    <t>0.05136 (0.01534)</t>
  </si>
  <si>
    <t>0.03582 (0.03970)</t>
  </si>
  <si>
    <t>ytvB</t>
  </si>
  <si>
    <t>3105473-3105799</t>
  </si>
  <si>
    <t>ytrA</t>
  </si>
  <si>
    <t>3118850-3119239</t>
  </si>
  <si>
    <t>0.12154 (0.04052)</t>
  </si>
  <si>
    <t>0.18265 (0.00000)</t>
  </si>
  <si>
    <t>ytzC</t>
  </si>
  <si>
    <t>3119568-3119837</t>
  </si>
  <si>
    <t>0.12178 (0.19877)</t>
  </si>
  <si>
    <t>ytoA</t>
  </si>
  <si>
    <t>3123490-3124002</t>
  </si>
  <si>
    <t>transferase YtoA</t>
  </si>
  <si>
    <t>0.11151 (0.13175)</t>
  </si>
  <si>
    <t>asnB</t>
  </si>
  <si>
    <t>3125780-3127675</t>
  </si>
  <si>
    <t>asparagine synthetase 1</t>
  </si>
  <si>
    <t>0.03524 (0.01875)</t>
  </si>
  <si>
    <t>0.00533 (0.00441)</t>
  </si>
  <si>
    <t>metK</t>
  </si>
  <si>
    <t>3127828-3129027</t>
  </si>
  <si>
    <t>S-adenosylmethionine synthase</t>
  </si>
  <si>
    <t>0.01186 (0.02389)</t>
  </si>
  <si>
    <t>ytmB</t>
  </si>
  <si>
    <t>3131155-3131394</t>
  </si>
  <si>
    <t>0.43379 (0.28919)</t>
  </si>
  <si>
    <t>ytmA</t>
  </si>
  <si>
    <t>3131449-3132219</t>
  </si>
  <si>
    <t>peptidase YtmA</t>
  </si>
  <si>
    <t>0.04117 (0.04100)</t>
  </si>
  <si>
    <t>ytkD</t>
  </si>
  <si>
    <t>3134986-3135459</t>
  </si>
  <si>
    <t>8-oxo-dGTP diphosphatase YtkD</t>
  </si>
  <si>
    <t>0.02149 (0.03286)</t>
  </si>
  <si>
    <t>0.04581 (0.03951)</t>
  </si>
  <si>
    <t>ytkC</t>
  </si>
  <si>
    <t>3135671-3136072</t>
  </si>
  <si>
    <t>0.37783 (0.17837)</t>
  </si>
  <si>
    <t>0.04760 (0.01572)</t>
  </si>
  <si>
    <t>dps</t>
  </si>
  <si>
    <t>3136241-3136675</t>
  </si>
  <si>
    <t>general stress protein 20U</t>
  </si>
  <si>
    <t>0.05022 (0.05887)</t>
  </si>
  <si>
    <t>luxS</t>
  </si>
  <si>
    <t>3137498-3137968</t>
  </si>
  <si>
    <t>S-ribosylhomocysteine lyase</t>
  </si>
  <si>
    <t>0.02764 (0.04319)</t>
  </si>
  <si>
    <t>rpmE2</t>
  </si>
  <si>
    <t>3138981-3139226</t>
  </si>
  <si>
    <t>50S ribosomal protein L31 type B</t>
  </si>
  <si>
    <t>ytzL</t>
  </si>
  <si>
    <t>3141900-3142055</t>
  </si>
  <si>
    <t>menB</t>
  </si>
  <si>
    <t>3148904-3149716</t>
  </si>
  <si>
    <t>1,4-dihydroxy-2-naphthoyl-CoA synthase</t>
  </si>
  <si>
    <t>yuaG</t>
  </si>
  <si>
    <t>3180468-3181994</t>
  </si>
  <si>
    <t>0.02313 (0.01981)</t>
  </si>
  <si>
    <t>yuaE</t>
  </si>
  <si>
    <t>3182707-3183192</t>
  </si>
  <si>
    <t>0.09950 (0.20089)</t>
  </si>
  <si>
    <t>yubF</t>
  </si>
  <si>
    <t>3190465-3190725</t>
  </si>
  <si>
    <t>yugP</t>
  </si>
  <si>
    <t>3217499-3218173</t>
  </si>
  <si>
    <t>membrane protease YugP</t>
  </si>
  <si>
    <t>0.02984 (0.04814)</t>
  </si>
  <si>
    <t>0.03704 (0.04196)</t>
  </si>
  <si>
    <t>mstX</t>
  </si>
  <si>
    <t>3218525-3218854</t>
  </si>
  <si>
    <t>protein mistic</t>
  </si>
  <si>
    <t>0.06088 (0.13076)</t>
  </si>
  <si>
    <t>pgi</t>
  </si>
  <si>
    <t>3220734-3222083</t>
  </si>
  <si>
    <t>glucose-6-phosphate isomerase</t>
  </si>
  <si>
    <t>0.00788 (0.01848)</t>
  </si>
  <si>
    <t>yuzA</t>
  </si>
  <si>
    <t>3224864-3225097</t>
  </si>
  <si>
    <t>yugI</t>
  </si>
  <si>
    <t>3225181-3225570</t>
  </si>
  <si>
    <t>general stress protein 13</t>
  </si>
  <si>
    <t>0.27850 (0.00000)</t>
  </si>
  <si>
    <t>alaT</t>
  </si>
  <si>
    <t>3225775-3226932</t>
  </si>
  <si>
    <t>aminotransferase YugH</t>
  </si>
  <si>
    <t>0.02101 (0.03100)</t>
  </si>
  <si>
    <t>yugG</t>
  </si>
  <si>
    <t>3226936-3227433</t>
  </si>
  <si>
    <t>0.02094 (0.00000)</t>
  </si>
  <si>
    <t>yugE</t>
  </si>
  <si>
    <t>3228434-3228691</t>
  </si>
  <si>
    <t>0.21050 (0.15766)</t>
  </si>
  <si>
    <t>yuxJ</t>
  </si>
  <si>
    <t>3232640-3233815</t>
  </si>
  <si>
    <t>0.09192 (0.01760)</t>
  </si>
  <si>
    <t>0.10364 (0.06819)</t>
  </si>
  <si>
    <t>pbpD</t>
  </si>
  <si>
    <t>3233911-3235782</t>
  </si>
  <si>
    <t>penicillin-binding protein 4</t>
  </si>
  <si>
    <t>0.03902 (0.08591)</t>
  </si>
  <si>
    <t>0.06197 (0.00000)</t>
  </si>
  <si>
    <t>yuxK</t>
  </si>
  <si>
    <t>3235806-3236216</t>
  </si>
  <si>
    <t>0.09226 (0.07205)</t>
  </si>
  <si>
    <t>0.07166 (0.00000)</t>
  </si>
  <si>
    <t>yufK</t>
  </si>
  <si>
    <t>3236425-3236979</t>
  </si>
  <si>
    <t>0.05406 (0.10614)</t>
  </si>
  <si>
    <t>0.04758 (0.05818)</t>
  </si>
  <si>
    <t>mrpB</t>
  </si>
  <si>
    <t>3248996-3249424</t>
  </si>
  <si>
    <t>Na(+)/H(+) antiporter subunit B</t>
  </si>
  <si>
    <t>0.03198 (0.06132)</t>
  </si>
  <si>
    <t>0.12827 (0.00000)</t>
  </si>
  <si>
    <t>mrpC</t>
  </si>
  <si>
    <t>3249427-3249765</t>
  </si>
  <si>
    <t>Na(+)/H(+) antiporter subunit C</t>
  </si>
  <si>
    <t>mrpF</t>
  </si>
  <si>
    <t>3251724-3252005</t>
  </si>
  <si>
    <t>Na(+)/H(+) antiporter subunit F</t>
  </si>
  <si>
    <t>0.05634 (0.08195)</t>
  </si>
  <si>
    <t>0.04776 (0.04032)</t>
  </si>
  <si>
    <t>comA</t>
  </si>
  <si>
    <t>3252807-3253448</t>
  </si>
  <si>
    <t>transcriptional regulatory protein ComA</t>
  </si>
  <si>
    <t>degQ</t>
  </si>
  <si>
    <t>3257095-3257232</t>
  </si>
  <si>
    <t>degradation enzyme regulation protein DegQ</t>
  </si>
  <si>
    <t>yueK</t>
  </si>
  <si>
    <t>3259406-3260875</t>
  </si>
  <si>
    <t>nicotinate phosphoribosyltransferase</t>
  </si>
  <si>
    <t>0.01504 (0.03500)</t>
  </si>
  <si>
    <t>pncA</t>
  </si>
  <si>
    <t>3260894-3261442</t>
  </si>
  <si>
    <t>isochorismatase</t>
  </si>
  <si>
    <t>0.12158 (0.05395)</t>
  </si>
  <si>
    <t>0.09244 (0.10570)</t>
  </si>
  <si>
    <t>yuzF</t>
  </si>
  <si>
    <t>3264268-3264501</t>
  </si>
  <si>
    <t>0.04336 (0.05762)</t>
  </si>
  <si>
    <t>yukD</t>
  </si>
  <si>
    <t>3275835-3276071</t>
  </si>
  <si>
    <t>ubiquitin-like protein YukD</t>
  </si>
  <si>
    <t>0.04463 (0.05603)</t>
  </si>
  <si>
    <t>0.40654 (0.00000)</t>
  </si>
  <si>
    <t>yukE</t>
  </si>
  <si>
    <t>3276144-3276434</t>
  </si>
  <si>
    <t>ybdZ</t>
  </si>
  <si>
    <t>3280297-3280503</t>
  </si>
  <si>
    <t>0.13554 (0.10219)</t>
  </si>
  <si>
    <t>0.13341 (0.02470)</t>
  </si>
  <si>
    <t>yuiB</t>
  </si>
  <si>
    <t>3299347-3299664</t>
  </si>
  <si>
    <t>0.13084 (0.04637)</t>
  </si>
  <si>
    <t>0.41641 (0.10773)</t>
  </si>
  <si>
    <t>yuiA</t>
  </si>
  <si>
    <t>3299721-3299861</t>
  </si>
  <si>
    <t>0.12565 (0.02271)</t>
  </si>
  <si>
    <t>yumC</t>
  </si>
  <si>
    <t>3301586-3302581</t>
  </si>
  <si>
    <t>ferredoxin--NADP reductase 2</t>
  </si>
  <si>
    <t>0.01111 (0.01379)</t>
  </si>
  <si>
    <t>guaC</t>
  </si>
  <si>
    <t>3303042-3304019</t>
  </si>
  <si>
    <t>GMP reductase</t>
  </si>
  <si>
    <t>0.04604 (0.02462)</t>
  </si>
  <si>
    <t>paiB</t>
  </si>
  <si>
    <t>3304099-3304719</t>
  </si>
  <si>
    <t>protease synthase and sporulation protein PAI 2</t>
  </si>
  <si>
    <t>0.27617 (0.33273)</t>
  </si>
  <si>
    <t>yutM</t>
  </si>
  <si>
    <t>3305602-3305961</t>
  </si>
  <si>
    <t>yutK</t>
  </si>
  <si>
    <t>3307020-3308231</t>
  </si>
  <si>
    <t>transporter</t>
  </si>
  <si>
    <t>0.02974 (0.05282)</t>
  </si>
  <si>
    <t>yuzB</t>
  </si>
  <si>
    <t>3308371-3308604</t>
  </si>
  <si>
    <t>yutJ</t>
  </si>
  <si>
    <t>3308867-3309931</t>
  </si>
  <si>
    <t>NADH dehydrogenase-like protein YutJ</t>
  </si>
  <si>
    <t>0.05948 (0.03448)</t>
  </si>
  <si>
    <t>0.05990 (0.07832)</t>
  </si>
  <si>
    <t>yuzD</t>
  </si>
  <si>
    <t>3309963-3310286</t>
  </si>
  <si>
    <t>disulfide oxidoreductase YuzD</t>
  </si>
  <si>
    <t>0.23381 (0.11162)</t>
  </si>
  <si>
    <t>0.03708 (0.04007)</t>
  </si>
  <si>
    <t>yutI</t>
  </si>
  <si>
    <t>3310386-3310718</t>
  </si>
  <si>
    <t>nitrogen fixation protein YutI</t>
  </si>
  <si>
    <t>hom</t>
  </si>
  <si>
    <t>3314831-3316129</t>
  </si>
  <si>
    <t>homoserine dehydrogenase</t>
  </si>
  <si>
    <t>yutG</t>
  </si>
  <si>
    <t>3317502-3317999</t>
  </si>
  <si>
    <t>0.10548 (0.06118)</t>
  </si>
  <si>
    <t>0.05508 (0.06080)</t>
  </si>
  <si>
    <t>yutD</t>
  </si>
  <si>
    <t>3319289-3319561</t>
  </si>
  <si>
    <t>0.04864 (0.05848)</t>
  </si>
  <si>
    <t>0.05908 (0.00000)</t>
  </si>
  <si>
    <t>lipA</t>
  </si>
  <si>
    <t>3320327-3321220</t>
  </si>
  <si>
    <t>lipoyl synthase</t>
  </si>
  <si>
    <t>yunF</t>
  </si>
  <si>
    <t>3325920-3326765</t>
  </si>
  <si>
    <t>0.03194 (0.03045)</t>
  </si>
  <si>
    <t>0.01295 (0.01503)</t>
  </si>
  <si>
    <t>frlM</t>
  </si>
  <si>
    <t>3347922-3348821</t>
  </si>
  <si>
    <t>0.09607 (0.02236)</t>
  </si>
  <si>
    <t>0.02745 (0.03060)</t>
  </si>
  <si>
    <t>frlN</t>
  </si>
  <si>
    <t>3348828-3349703</t>
  </si>
  <si>
    <t>0.01779 (0.03481)</t>
  </si>
  <si>
    <t>0.01952 (0.02280)</t>
  </si>
  <si>
    <t>frlB</t>
  </si>
  <si>
    <t>3351113-3352096</t>
  </si>
  <si>
    <t>fructosamine deglycase FrlB</t>
  </si>
  <si>
    <t>0.10545 (0.04849)</t>
  </si>
  <si>
    <t>0.04962 (0.02379)</t>
  </si>
  <si>
    <t>sufB</t>
  </si>
  <si>
    <t>3355596-3356990</t>
  </si>
  <si>
    <t>FeS cluster assembly protein SufB</t>
  </si>
  <si>
    <t>0.00930 (0.01730)</t>
  </si>
  <si>
    <t>iscU</t>
  </si>
  <si>
    <t>3357014-3357454</t>
  </si>
  <si>
    <t>NifU-like protein</t>
  </si>
  <si>
    <t>sufS</t>
  </si>
  <si>
    <t>3357447-3358664</t>
  </si>
  <si>
    <t>cysteine desulfurase</t>
  </si>
  <si>
    <t>0.04488 (0.02002)</t>
  </si>
  <si>
    <t>0.04464 (0.05871)</t>
  </si>
  <si>
    <t>sufD</t>
  </si>
  <si>
    <t>3358667-3359977</t>
  </si>
  <si>
    <t>FeS cluster assembly protein SufD</t>
  </si>
  <si>
    <t>0.03860 (0.02061)</t>
  </si>
  <si>
    <t>0.03077 (0.04068)</t>
  </si>
  <si>
    <t>sufC</t>
  </si>
  <si>
    <t>3359998-3360780</t>
  </si>
  <si>
    <t>0.03595 (0.03018)</t>
  </si>
  <si>
    <t>yuzK</t>
  </si>
  <si>
    <t>3360977-3361111</t>
  </si>
  <si>
    <t>metN</t>
  </si>
  <si>
    <t>3361770-3362591</t>
  </si>
  <si>
    <t>methionine-binding lipoprotein MetQ</t>
  </si>
  <si>
    <t>0.02205 (0.04098)</t>
  </si>
  <si>
    <t>0.05732 (0.07344)</t>
  </si>
  <si>
    <t>metQ</t>
  </si>
  <si>
    <t>3363269-3364291</t>
  </si>
  <si>
    <t>methionine import ATP-binding protein MetN</t>
  </si>
  <si>
    <t>0.01066 (0.01964)</t>
  </si>
  <si>
    <t>0.05722 (0.04869)</t>
  </si>
  <si>
    <t>yusD</t>
  </si>
  <si>
    <t>3364621-3364962</t>
  </si>
  <si>
    <t>0.05708 (0.09004)</t>
  </si>
  <si>
    <t>yusE</t>
  </si>
  <si>
    <t>3365072-3365389</t>
  </si>
  <si>
    <t>yusG</t>
  </si>
  <si>
    <t>3365834-3366067</t>
  </si>
  <si>
    <t>yusH</t>
  </si>
  <si>
    <t>3366126-3366506</t>
  </si>
  <si>
    <t>glycine cleavage system H protein</t>
  </si>
  <si>
    <t>yusI</t>
  </si>
  <si>
    <t>3366576-3366929</t>
  </si>
  <si>
    <t>yuzL</t>
  </si>
  <si>
    <t>3372569-3372712</t>
  </si>
  <si>
    <t>0.82461 (1.27084)</t>
  </si>
  <si>
    <t>yuzM</t>
  </si>
  <si>
    <t>3373743-3373985</t>
  </si>
  <si>
    <t>0.07515 (0.11600)</t>
  </si>
  <si>
    <t>0.11216 (0.00000)</t>
  </si>
  <si>
    <t>yusN</t>
  </si>
  <si>
    <t>3374001-3374330</t>
  </si>
  <si>
    <t>0.09876 (0.13550)</t>
  </si>
  <si>
    <t>yusU</t>
  </si>
  <si>
    <t>3378803-3379087</t>
  </si>
  <si>
    <t>0.03139 (0.04914)</t>
  </si>
  <si>
    <t>0.25037 (0.00000)</t>
  </si>
  <si>
    <t>yusV</t>
  </si>
  <si>
    <t>3379115-3379939</t>
  </si>
  <si>
    <t>siderophore transport system ATP-binding proteinYusV</t>
  </si>
  <si>
    <t>0.03156 (0.02488)</t>
  </si>
  <si>
    <t>0.01151 (0.01209)</t>
  </si>
  <si>
    <t>mrgA</t>
  </si>
  <si>
    <t>3383565-3384023</t>
  </si>
  <si>
    <t>metalloregulation DNA-binding stress protein</t>
  </si>
  <si>
    <t>0.10371 (0.11653)</t>
  </si>
  <si>
    <t>0.08633 (0.07639)</t>
  </si>
  <si>
    <t>cssR</t>
  </si>
  <si>
    <t>3385724-3386398</t>
  </si>
  <si>
    <t>transcriptional regulatory protein CssR</t>
  </si>
  <si>
    <t>0.03296 (0.07814)</t>
  </si>
  <si>
    <t>yuzO</t>
  </si>
  <si>
    <t>3387784-3387945</t>
  </si>
  <si>
    <t>yuxN</t>
  </si>
  <si>
    <t>3388113-3388985</t>
  </si>
  <si>
    <t>HTH-type transcriptional regulator YuxN</t>
  </si>
  <si>
    <t>0.12465 (0.07231)</t>
  </si>
  <si>
    <t>0.07681 (0.06653)</t>
  </si>
  <si>
    <t>fumC</t>
  </si>
  <si>
    <t>3389027-3390412</t>
  </si>
  <si>
    <t>fumarate hydratase class II</t>
  </si>
  <si>
    <t>0.00776 (0.01252)</t>
  </si>
  <si>
    <t>0.01433 (0.01833)</t>
  </si>
  <si>
    <t>yvzF</t>
  </si>
  <si>
    <t>3390482-3390664</t>
  </si>
  <si>
    <t>0.28883 (0.11241)</t>
  </si>
  <si>
    <t>liaI</t>
  </si>
  <si>
    <t>3398553-3398930</t>
  </si>
  <si>
    <t>protein LiaI</t>
  </si>
  <si>
    <t>sspJ</t>
  </si>
  <si>
    <t>3421468-3421605</t>
  </si>
  <si>
    <t>small acid-soluble spore protein J</t>
  </si>
  <si>
    <t>yvgN</t>
  </si>
  <si>
    <t>3426752-3427579</t>
  </si>
  <si>
    <t>glyoxal reductase</t>
  </si>
  <si>
    <t>0.04219 (0.03048)</t>
  </si>
  <si>
    <t>yvgO</t>
  </si>
  <si>
    <t>3427802-3428284</t>
  </si>
  <si>
    <t>stress response protein YvgO</t>
  </si>
  <si>
    <t>0.09370 (0.09102)</t>
  </si>
  <si>
    <t>0.15033 (0.00000)</t>
  </si>
  <si>
    <t>copZ</t>
  </si>
  <si>
    <t>3443616-3443822</t>
  </si>
  <si>
    <t>copper chaperone CopZ</t>
  </si>
  <si>
    <t>0.05275 (0.09885)</t>
  </si>
  <si>
    <t>csoR</t>
  </si>
  <si>
    <t>3443899-3444201</t>
  </si>
  <si>
    <t>copper-sensing transcriptional repressor CsoR</t>
  </si>
  <si>
    <t>0.03355 (0.05807)</t>
  </si>
  <si>
    <t>yvaG</t>
  </si>
  <si>
    <t>3449735-3450526</t>
  </si>
  <si>
    <t>0.03641 (0.03108)</t>
  </si>
  <si>
    <t>0.08192 (0.09722)</t>
  </si>
  <si>
    <t>smpB</t>
  </si>
  <si>
    <t>3451251-3451718</t>
  </si>
  <si>
    <t>SsrA-binding protein</t>
  </si>
  <si>
    <t>rnr</t>
  </si>
  <si>
    <t>3451866-3454202</t>
  </si>
  <si>
    <t>ribonuclease R</t>
  </si>
  <si>
    <t>0.01688 (0.01298)</t>
  </si>
  <si>
    <t>0.01820 (0.02151)</t>
  </si>
  <si>
    <t>yvaK</t>
  </si>
  <si>
    <t>3454224-3454967</t>
  </si>
  <si>
    <t>carboxylesterase</t>
  </si>
  <si>
    <t>0.01834 (0.03580)</t>
  </si>
  <si>
    <t>0.01153 (0.00000)</t>
  </si>
  <si>
    <t>secG</t>
  </si>
  <si>
    <t>3455096-3455323</t>
  </si>
  <si>
    <t>protein-export membrane protein SecG</t>
  </si>
  <si>
    <t>yvzC</t>
  </si>
  <si>
    <t>3456285-3456515</t>
  </si>
  <si>
    <t>HTH-type transcriptional regulator YvzC</t>
  </si>
  <si>
    <t>0.14565 (0.20597)</t>
  </si>
  <si>
    <t>rghRA</t>
  </si>
  <si>
    <t>3456667-3457071</t>
  </si>
  <si>
    <t>HTH-type transcriptional repressor RghR</t>
  </si>
  <si>
    <t>0.02621 (0.04325)</t>
  </si>
  <si>
    <t>yvaP</t>
  </si>
  <si>
    <t>3457615-3457938</t>
  </si>
  <si>
    <t>HTH-type transcriptional regulator YvaP</t>
  </si>
  <si>
    <t>0.07085 (0.00000)</t>
  </si>
  <si>
    <t>yvbF</t>
  </si>
  <si>
    <t>3471266-3471820</t>
  </si>
  <si>
    <t>HTH-type transcriptional regulator YvbF</t>
  </si>
  <si>
    <t>0.08424 (0.12227)</t>
  </si>
  <si>
    <t>eno</t>
  </si>
  <si>
    <t>3476558-3477847</t>
  </si>
  <si>
    <t>enolase</t>
  </si>
  <si>
    <t>0.01382 (0.02987)</t>
  </si>
  <si>
    <t>0.11606 (0.00000)</t>
  </si>
  <si>
    <t>pgm</t>
  </si>
  <si>
    <t>3477880-3479412</t>
  </si>
  <si>
    <t>2,3-bisphosphoglycerate-independentphosphoglycerate mutase</t>
  </si>
  <si>
    <t>0.03765 (0.03486)</t>
  </si>
  <si>
    <t>0.05167 (0.04071)</t>
  </si>
  <si>
    <t>tpiA</t>
  </si>
  <si>
    <t>3479408-3480166</t>
  </si>
  <si>
    <t>triosephosphate isomerase</t>
  </si>
  <si>
    <t>0.11004 (0.09215)</t>
  </si>
  <si>
    <t>0.03213 (0.03665)</t>
  </si>
  <si>
    <t>pgk</t>
  </si>
  <si>
    <t>3480200-3481381</t>
  </si>
  <si>
    <t>phosphoglycerate kinase</t>
  </si>
  <si>
    <t>0.04039 (0.07037)</t>
  </si>
  <si>
    <t>0.05605 (0.05548)</t>
  </si>
  <si>
    <t>gapA</t>
  </si>
  <si>
    <t>3481701-3482705</t>
  </si>
  <si>
    <t>glyceraldehyde-3-phosphate dehydrogenase 1</t>
  </si>
  <si>
    <t>cggR</t>
  </si>
  <si>
    <t>3482755-3483774</t>
  </si>
  <si>
    <t>central glycolytic genes regulator</t>
  </si>
  <si>
    <t>0.07375 (0.03501)</t>
  </si>
  <si>
    <t>yvfG</t>
  </si>
  <si>
    <t>3513887-3514102</t>
  </si>
  <si>
    <t>epsL</t>
  </si>
  <si>
    <t>3516883-3517488</t>
  </si>
  <si>
    <t>sugar transferase EpsL</t>
  </si>
  <si>
    <t>epsB</t>
  </si>
  <si>
    <t>3528465-3529145</t>
  </si>
  <si>
    <t>tyrosine-protein kinase YveL</t>
  </si>
  <si>
    <t>0.04091 (0.03181)</t>
  </si>
  <si>
    <t>0.06086 (0.00000)</t>
  </si>
  <si>
    <t>epsA</t>
  </si>
  <si>
    <t>3529154-3529855</t>
  </si>
  <si>
    <t>0.08457 (0.07448)</t>
  </si>
  <si>
    <t>0.07915 (0.02674)</t>
  </si>
  <si>
    <t>padC</t>
  </si>
  <si>
    <t>3532328-3532810</t>
  </si>
  <si>
    <t>phenolic acid decarboxylase PadC</t>
  </si>
  <si>
    <t>0.04267 (0.03616)</t>
  </si>
  <si>
    <t>yveG</t>
  </si>
  <si>
    <t>3532836-3533120</t>
  </si>
  <si>
    <t>yveF</t>
  </si>
  <si>
    <t>3533199-3533288</t>
  </si>
  <si>
    <t>sacB</t>
  </si>
  <si>
    <t>3536012-3537430</t>
  </si>
  <si>
    <t>levansucrase</t>
  </si>
  <si>
    <t>0.03260 (0.02904)</t>
  </si>
  <si>
    <t>0.03368 (0.00711)</t>
  </si>
  <si>
    <t>yvdC</t>
  </si>
  <si>
    <t>3559632-3559949</t>
  </si>
  <si>
    <t>0.06430 (0.05773)</t>
  </si>
  <si>
    <t>0.02716 (0.00000)</t>
  </si>
  <si>
    <t>yvzJ</t>
  </si>
  <si>
    <t>3568282-3568488</t>
  </si>
  <si>
    <t>0.39105 (0.33884)</t>
  </si>
  <si>
    <t>crh</t>
  </si>
  <si>
    <t>3569295-3569549</t>
  </si>
  <si>
    <t>HPr-like protein Crh</t>
  </si>
  <si>
    <t>whiA</t>
  </si>
  <si>
    <t>3569576-3570523</t>
  </si>
  <si>
    <t>sporulation transcription regulator WhiA</t>
  </si>
  <si>
    <t>0.00918 (0.00954)</t>
  </si>
  <si>
    <t>yvcK</t>
  </si>
  <si>
    <t>3570549-3571499</t>
  </si>
  <si>
    <t>0.04836 (0.04962)</t>
  </si>
  <si>
    <t>0.02408 (0.02913)</t>
  </si>
  <si>
    <t>yvcJ</t>
  </si>
  <si>
    <t>3571504-3572388</t>
  </si>
  <si>
    <t>nucleotide-binding protein YvcJ</t>
  </si>
  <si>
    <t>0.02914 (0.06073)</t>
  </si>
  <si>
    <t>trxB</t>
  </si>
  <si>
    <t>3573210-3574157</t>
  </si>
  <si>
    <t>0.00689 (0.01158)</t>
  </si>
  <si>
    <t>0.02978 (0.00000)</t>
  </si>
  <si>
    <t>yvcD</t>
  </si>
  <si>
    <t>3576168-3577619</t>
  </si>
  <si>
    <t>TPR repeat-containing protein YvcD</t>
  </si>
  <si>
    <t>0.03683 (0.04317)</t>
  </si>
  <si>
    <t>0.07274 (0.00000)</t>
  </si>
  <si>
    <t>csbA</t>
  </si>
  <si>
    <t>3615119-3615346</t>
  </si>
  <si>
    <t>general stress protein CsbA</t>
  </si>
  <si>
    <t>0.08299 (0.11979)</t>
  </si>
  <si>
    <t>ftsX</t>
  </si>
  <si>
    <t>3623941-3624828</t>
  </si>
  <si>
    <t>cell division protein FtsX</t>
  </si>
  <si>
    <t>0.05197 (0.02785)</t>
  </si>
  <si>
    <t>0.05453 (0.07052)</t>
  </si>
  <si>
    <t>ftsE</t>
  </si>
  <si>
    <t>3624824-3625507</t>
  </si>
  <si>
    <t>cell division ATP-binding protein FtsE</t>
  </si>
  <si>
    <t>0.05034 (0.05116)</t>
  </si>
  <si>
    <t>secA</t>
  </si>
  <si>
    <t>3628313-3630835</t>
  </si>
  <si>
    <t>protein translocase subunit SecA</t>
  </si>
  <si>
    <t>0.03805 (0.07818)</t>
  </si>
  <si>
    <t>yvyD</t>
  </si>
  <si>
    <t>3631006-3631572</t>
  </si>
  <si>
    <t>sigma-54 modulation protein</t>
  </si>
  <si>
    <t>0.01709 (0.03040)</t>
  </si>
  <si>
    <t>0.17146 (0.00000)</t>
  </si>
  <si>
    <t>fliS</t>
  </si>
  <si>
    <t>3632491-3632889</t>
  </si>
  <si>
    <t>flagellar protein FliS</t>
  </si>
  <si>
    <t>0.03493 (0.02408)</t>
  </si>
  <si>
    <t>0.09179 (0.00000)</t>
  </si>
  <si>
    <t>csrA</t>
  </si>
  <si>
    <t>3636049-3636270</t>
  </si>
  <si>
    <t>carbon storage regulator</t>
  </si>
  <si>
    <t>0.15945 (0.08730)</t>
  </si>
  <si>
    <t>yviF</t>
  </si>
  <si>
    <t>3636267-3636695</t>
  </si>
  <si>
    <t>flagellar assembly factor FliW</t>
  </si>
  <si>
    <t>0.02033 (0.03727)</t>
  </si>
  <si>
    <t>0.05799 (0.06171)</t>
  </si>
  <si>
    <t>flgM</t>
  </si>
  <si>
    <t>3640288-3640551</t>
  </si>
  <si>
    <t>negative regulator of flagellin synthesis</t>
  </si>
  <si>
    <t>0.37432 (0.43223)</t>
  </si>
  <si>
    <t>0.19363 (0.00000)</t>
  </si>
  <si>
    <t>degU</t>
  </si>
  <si>
    <t>3644610-3645296</t>
  </si>
  <si>
    <t>transcriptional regulatory protein DegU</t>
  </si>
  <si>
    <t>degS</t>
  </si>
  <si>
    <t>3645382-3646536</t>
  </si>
  <si>
    <t>signal transduction histidine-protein</t>
  </si>
  <si>
    <t>0.03696 (0.03488)</t>
  </si>
  <si>
    <t>yvyE</t>
  </si>
  <si>
    <t>3646753-3647403</t>
  </si>
  <si>
    <t>IMPACT family member YvyE</t>
  </si>
  <si>
    <t>0.05438 (0.08551)</t>
  </si>
  <si>
    <t>ywtE</t>
  </si>
  <si>
    <t>3695363-3696220</t>
  </si>
  <si>
    <t>0.09931 (0.08816)</t>
  </si>
  <si>
    <t>pgsE</t>
  </si>
  <si>
    <t>3697642-3697806</t>
  </si>
  <si>
    <t>0.12157 (0.19025)</t>
  </si>
  <si>
    <t>pgsC</t>
  </si>
  <si>
    <t>3698985-3699431</t>
  </si>
  <si>
    <t>PGA biosynthesis protein CapC</t>
  </si>
  <si>
    <t>0.02803 (0.04771)</t>
  </si>
  <si>
    <t>pgsB</t>
  </si>
  <si>
    <t>3699449-3700627</t>
  </si>
  <si>
    <t>PGA synthase CapB</t>
  </si>
  <si>
    <t>0.01147 (0.02362)</t>
  </si>
  <si>
    <t>0.02314 (0.02794)</t>
  </si>
  <si>
    <t>alsD</t>
  </si>
  <si>
    <t>3708802-3709566</t>
  </si>
  <si>
    <t>alpha-acetolactate decarboxylase</t>
  </si>
  <si>
    <t>0.02882 (0.02618)</t>
  </si>
  <si>
    <t>0.03517 (0.03334)</t>
  </si>
  <si>
    <t>ywqI</t>
  </si>
  <si>
    <t>3727430-3727687</t>
  </si>
  <si>
    <t>ywqC</t>
  </si>
  <si>
    <t>3732528-3733271</t>
  </si>
  <si>
    <t>capsular polysaccharide biosynthesis proteinYwqC</t>
  </si>
  <si>
    <t>0.10390 (0.15926)</t>
  </si>
  <si>
    <t>ywzD</t>
  </si>
  <si>
    <t>3733508-3733648</t>
  </si>
  <si>
    <t>ssbB</t>
  </si>
  <si>
    <t>3740209-3740547</t>
  </si>
  <si>
    <t>single-stranded DNA-binding protein SsbB</t>
  </si>
  <si>
    <t>0.07774 (0.05864)</t>
  </si>
  <si>
    <t>0.06029 (0.05884)</t>
  </si>
  <si>
    <t>ywpF</t>
  </si>
  <si>
    <t>3741182-3741589</t>
  </si>
  <si>
    <t>0.13517 (0.15569)</t>
  </si>
  <si>
    <t>0.21473 (0.00000)</t>
  </si>
  <si>
    <t>fabZ</t>
  </si>
  <si>
    <t>3743735-3744157</t>
  </si>
  <si>
    <t>3-hydroxyacyl-[acyl-carrier-protein] dehydrataseFabZ</t>
  </si>
  <si>
    <t>flhP</t>
  </si>
  <si>
    <t>3745439-3746245</t>
  </si>
  <si>
    <t>flagellar hook-basal body complex protein FlhP</t>
  </si>
  <si>
    <t>0.03830 (0.05173)</t>
  </si>
  <si>
    <t>mbl</t>
  </si>
  <si>
    <t>3747257-3748255</t>
  </si>
  <si>
    <t>MreB-like protein</t>
  </si>
  <si>
    <t>0.02580 (0.03341)</t>
  </si>
  <si>
    <t>spoIIID</t>
  </si>
  <si>
    <t>3748424-3748702</t>
  </si>
  <si>
    <t>stage III sporulation protein D</t>
  </si>
  <si>
    <t>usd</t>
  </si>
  <si>
    <t>3748720-3748827</t>
  </si>
  <si>
    <t>protein usd</t>
  </si>
  <si>
    <t>ywoH</t>
  </si>
  <si>
    <t>3749052-3749462</t>
  </si>
  <si>
    <t>HTH-type transcriptional regulator YwoH</t>
  </si>
  <si>
    <t>0.02414 (0.04631)</t>
  </si>
  <si>
    <t>0.04372 (0.04502)</t>
  </si>
  <si>
    <t>glnK</t>
  </si>
  <si>
    <t>3758016-3758363</t>
  </si>
  <si>
    <t>nitrogen regulatory PII-like protein</t>
  </si>
  <si>
    <t>ywnC</t>
  </si>
  <si>
    <t>3765051-3765431</t>
  </si>
  <si>
    <t>0.09922 (0.09561)</t>
  </si>
  <si>
    <t>ureA</t>
  </si>
  <si>
    <t>3768794-3769108</t>
  </si>
  <si>
    <t>urease subunit gamma</t>
  </si>
  <si>
    <t>0.01775 (0.02922)</t>
  </si>
  <si>
    <t>fdhD</t>
  </si>
  <si>
    <t>3773369-3774154</t>
  </si>
  <si>
    <t>protein FdhD</t>
  </si>
  <si>
    <t>0.02947 (0.03955)</t>
  </si>
  <si>
    <t>0.29719 (0.00000)</t>
  </si>
  <si>
    <t>murAA</t>
  </si>
  <si>
    <t>3777952-3779259</t>
  </si>
  <si>
    <t>UDP-N-acetylglucosamine1-carboxyvinyltransferase 1</t>
  </si>
  <si>
    <t>0.02949 (0.06075)</t>
  </si>
  <si>
    <t>0.01788 (0.00867)</t>
  </si>
  <si>
    <t>ywmB</t>
  </si>
  <si>
    <t>3779296-3780033</t>
  </si>
  <si>
    <t>0.56429 (0.14629)</t>
  </si>
  <si>
    <t>0.13251 (0.09370)</t>
  </si>
  <si>
    <t>atpC</t>
  </si>
  <si>
    <t>3781072-3781467</t>
  </si>
  <si>
    <t>ATP synthase epsilon chain</t>
  </si>
  <si>
    <t>0.10595 (0.16332)</t>
  </si>
  <si>
    <t>0.06795 (0.07786)</t>
  </si>
  <si>
    <t>atpD</t>
  </si>
  <si>
    <t>3781494-3782912</t>
  </si>
  <si>
    <t>ATP synthase subunit beta</t>
  </si>
  <si>
    <t>0.01153 (0.02239)</t>
  </si>
  <si>
    <t>0.03581 (0.00000)</t>
  </si>
  <si>
    <t>atpG</t>
  </si>
  <si>
    <t>3782941-3783801</t>
  </si>
  <si>
    <t>ATP synthase gamma chain</t>
  </si>
  <si>
    <t>0.01411 (0.02227)</t>
  </si>
  <si>
    <t>0.03832 (0.00000)</t>
  </si>
  <si>
    <t>atpA</t>
  </si>
  <si>
    <t>3783881-3785386</t>
  </si>
  <si>
    <t>ATP synthase subunit alpha</t>
  </si>
  <si>
    <t>0.03505 (0.01159)</t>
  </si>
  <si>
    <t>0.01017 (0.01196)</t>
  </si>
  <si>
    <t>atpH</t>
  </si>
  <si>
    <t>3785406-3785948</t>
  </si>
  <si>
    <t>ATP synthase subunit delta</t>
  </si>
  <si>
    <t>0.13125 (0.04361)</t>
  </si>
  <si>
    <t>0.11944 (0.13955)</t>
  </si>
  <si>
    <t>atpF</t>
  </si>
  <si>
    <t>3785948-3786457</t>
  </si>
  <si>
    <t>ATP synthase subunit b</t>
  </si>
  <si>
    <t>0.14215 (0.10051)</t>
  </si>
  <si>
    <t>0.28429 (0.40205)</t>
  </si>
  <si>
    <t>atpE</t>
  </si>
  <si>
    <t>3786623-3786832</t>
  </si>
  <si>
    <t>ATP synthase subunit c</t>
  </si>
  <si>
    <t>atpB</t>
  </si>
  <si>
    <t>3786881-3787612</t>
  </si>
  <si>
    <t>ATP synthase subunit a</t>
  </si>
  <si>
    <t>0.02960 (0.00000)</t>
  </si>
  <si>
    <t>atpI</t>
  </si>
  <si>
    <t>3787623-3788003</t>
  </si>
  <si>
    <t>ATP synthase protein I</t>
  </si>
  <si>
    <t>0.10155 (0.07995)</t>
  </si>
  <si>
    <t>0.03274 (0.03065)</t>
  </si>
  <si>
    <t>glyA</t>
  </si>
  <si>
    <t>3789193-3790437</t>
  </si>
  <si>
    <t>serine hydroxymethyltransferase</t>
  </si>
  <si>
    <t>0.04685 (0.01883)</t>
  </si>
  <si>
    <t>0.01573 (0.00895)</t>
  </si>
  <si>
    <t>ywlE</t>
  </si>
  <si>
    <t>3791808-3792257</t>
  </si>
  <si>
    <t>low molecular weightprotein-tyrosine-phosphatase YwlE</t>
  </si>
  <si>
    <t>0.34418 (0.36832)</t>
  </si>
  <si>
    <t>prfA</t>
  </si>
  <si>
    <t>3797088-3798155</t>
  </si>
  <si>
    <t>peptide chain release factor 1</t>
  </si>
  <si>
    <t>0.02340 (0.04493)</t>
  </si>
  <si>
    <t>ywkA</t>
  </si>
  <si>
    <t>3800421-3802166</t>
  </si>
  <si>
    <t>NAD-dependent malic enzyme 2</t>
  </si>
  <si>
    <t>0.03980 (0.01223)</t>
  </si>
  <si>
    <t>0.03379 (0.03837)</t>
  </si>
  <si>
    <t>rpmE</t>
  </si>
  <si>
    <t>3803084-3803281</t>
  </si>
  <si>
    <t>50S ribosomal protein L31</t>
  </si>
  <si>
    <t>rho</t>
  </si>
  <si>
    <t>3803403-3804683</t>
  </si>
  <si>
    <t>transcription termination factor Rho</t>
  </si>
  <si>
    <t>glpX</t>
  </si>
  <si>
    <t>3805093-3806055</t>
  </si>
  <si>
    <t>fructose-1,6-bisphosphatase class 2</t>
  </si>
  <si>
    <t>murAB</t>
  </si>
  <si>
    <t>3806089-3807375</t>
  </si>
  <si>
    <t>UDP-N-acetylglucosamine1-carboxyvinyltransferase 2</t>
  </si>
  <si>
    <t>0.00763 (0.01415)</t>
  </si>
  <si>
    <t>0.00646 (0.00806)</t>
  </si>
  <si>
    <t>ywjH</t>
  </si>
  <si>
    <t>3807757-3808392</t>
  </si>
  <si>
    <t>transaldolase</t>
  </si>
  <si>
    <t>0.03044 (0.05863)</t>
  </si>
  <si>
    <t>0.06364 (0.08118)</t>
  </si>
  <si>
    <t>fbaA</t>
  </si>
  <si>
    <t>3808515-3809369</t>
  </si>
  <si>
    <t>fructose-bisphosphate aldolase</t>
  </si>
  <si>
    <t>0.07706 (0.05771)</t>
  </si>
  <si>
    <t>0.07692 (0.00000)</t>
  </si>
  <si>
    <t>spo0F</t>
  </si>
  <si>
    <t>3809553-3809924</t>
  </si>
  <si>
    <t>sporulation initiation phosphotransferase F</t>
  </si>
  <si>
    <t>ywjG</t>
  </si>
  <si>
    <t>3810090-3810608</t>
  </si>
  <si>
    <t>0.12364 (0.09413)</t>
  </si>
  <si>
    <t>rpoE</t>
  </si>
  <si>
    <t>3812545-3813063</t>
  </si>
  <si>
    <t>DNA-directed RNA polymerase subunit delta</t>
  </si>
  <si>
    <t>0.12326 (0.14850)</t>
  </si>
  <si>
    <t>ywiB</t>
  </si>
  <si>
    <t>3835320-3835745</t>
  </si>
  <si>
    <t>beta-barrel protein YwiB</t>
  </si>
  <si>
    <t>sboA</t>
  </si>
  <si>
    <t>3836058-3836186</t>
  </si>
  <si>
    <t>subtilosin-A</t>
  </si>
  <si>
    <t>albB</t>
  </si>
  <si>
    <t>3837682-3837840</t>
  </si>
  <si>
    <t>antilisterial bacteriocin subtilosinbiosynthesis protein AlbB</t>
  </si>
  <si>
    <t>rapF</t>
  </si>
  <si>
    <t>3846001-3847143</t>
  </si>
  <si>
    <t>response regulator aspartate phosphatase F</t>
  </si>
  <si>
    <t>0.10693 (0.14680)</t>
  </si>
  <si>
    <t>0.10606 (0.00000)</t>
  </si>
  <si>
    <t>phrF</t>
  </si>
  <si>
    <t>3847130-3847246</t>
  </si>
  <si>
    <t>phosphatase RapF inhibitor</t>
  </si>
  <si>
    <t>speE</t>
  </si>
  <si>
    <t>3848789-3849616</t>
  </si>
  <si>
    <t>spermidine synthase</t>
  </si>
  <si>
    <t>0.01333 (0.02458)</t>
  </si>
  <si>
    <t>ywhB</t>
  </si>
  <si>
    <t>3853486-3853671</t>
  </si>
  <si>
    <t>2-hydroxymuconate tautomerase</t>
  </si>
  <si>
    <t>ywgA</t>
  </si>
  <si>
    <t>3859002-3859499</t>
  </si>
  <si>
    <t>0.01897 (0.03069)</t>
  </si>
  <si>
    <t>0.07552 (0.08125)</t>
  </si>
  <si>
    <t>ywfO</t>
  </si>
  <si>
    <t>3859538-3860836</t>
  </si>
  <si>
    <t>0.06885 (0.02586)</t>
  </si>
  <si>
    <t>0.01399 (0.00307)</t>
  </si>
  <si>
    <t>ywzC</t>
  </si>
  <si>
    <t>3861001-3861222</t>
  </si>
  <si>
    <t>eutD</t>
  </si>
  <si>
    <t>3865358-3866326</t>
  </si>
  <si>
    <t>phosphate acetyltransferase</t>
  </si>
  <si>
    <t>0.04726 (0.01756)</t>
  </si>
  <si>
    <t>0.05152 (0.05215)</t>
  </si>
  <si>
    <t>bacA</t>
  </si>
  <si>
    <t>3873569-3874180</t>
  </si>
  <si>
    <t>bacilysin biosynthesis protein BacA</t>
  </si>
  <si>
    <t>0.03940 (0.08213)</t>
  </si>
  <si>
    <t>spsA</t>
  </si>
  <si>
    <t>3892354-3893121</t>
  </si>
  <si>
    <t>spore coat polysaccharide biosynthesis proteinSpsA</t>
  </si>
  <si>
    <t>0.12077 (0.12300)</t>
  </si>
  <si>
    <t>0.06314 (0.02687)</t>
  </si>
  <si>
    <t>thiD</t>
  </si>
  <si>
    <t>3900963-3901775</t>
  </si>
  <si>
    <t>pyridoxine kinase</t>
  </si>
  <si>
    <t>0.02621 (0.00749)</t>
  </si>
  <si>
    <t>0.01359 (0.00000)</t>
  </si>
  <si>
    <t>sacT</t>
  </si>
  <si>
    <t>3906145-3906972</t>
  </si>
  <si>
    <t>SacPA operon antiterminator</t>
  </si>
  <si>
    <t>0.07567 (0.06154)</t>
  </si>
  <si>
    <t>0.04740 (0.00000)</t>
  </si>
  <si>
    <t>ywcI</t>
  </si>
  <si>
    <t>3907015-3907314</t>
  </si>
  <si>
    <t>ywcE</t>
  </si>
  <si>
    <t>3914009-3914269</t>
  </si>
  <si>
    <t>spore morphogenesis and germination proteinYwcE</t>
  </si>
  <si>
    <t>qoxD</t>
  </si>
  <si>
    <t>3914318-3914689</t>
  </si>
  <si>
    <t>quinol oxidase subunit 4</t>
  </si>
  <si>
    <t>0.12159 (0.00000)</t>
  </si>
  <si>
    <t>qoxC</t>
  </si>
  <si>
    <t>3914694-3915305</t>
  </si>
  <si>
    <t>quinol oxidase subunit 3</t>
  </si>
  <si>
    <t>0.04300 (0.06583)</t>
  </si>
  <si>
    <t>0.09802 (0.11196)</t>
  </si>
  <si>
    <t>qoxB</t>
  </si>
  <si>
    <t>3915322-3917268</t>
  </si>
  <si>
    <t>quinol oxidase subunit 1</t>
  </si>
  <si>
    <t>0.01592 (0.03012)</t>
  </si>
  <si>
    <t>0.02251 (0.02992)</t>
  </si>
  <si>
    <t>qoxA</t>
  </si>
  <si>
    <t>3917299-3918261</t>
  </si>
  <si>
    <t>quinol oxidase subunit 2</t>
  </si>
  <si>
    <t>0.03022 (0.05402)</t>
  </si>
  <si>
    <t>0.04368 (0.05735)</t>
  </si>
  <si>
    <t>ywbH</t>
  </si>
  <si>
    <t>3933209-3933592</t>
  </si>
  <si>
    <t>holin-like protein CidA</t>
  </si>
  <si>
    <t>0.03389 (0.04371)</t>
  </si>
  <si>
    <t>0.06039 (0.00000)</t>
  </si>
  <si>
    <t>lrgB</t>
  </si>
  <si>
    <t>3933577-3934251</t>
  </si>
  <si>
    <t>0.07339 (0.02495)</t>
  </si>
  <si>
    <t>0.02172 (0.02159)</t>
  </si>
  <si>
    <t>sacY</t>
  </si>
  <si>
    <t>3943667-3944506</t>
  </si>
  <si>
    <t>levansucrase and sucrase synthesis operonantiterminator</t>
  </si>
  <si>
    <t>0.07507 (0.05157)</t>
  </si>
  <si>
    <t>0.04280 (0.02771)</t>
  </si>
  <si>
    <t>ywaC</t>
  </si>
  <si>
    <t>3949955-3950584</t>
  </si>
  <si>
    <t>GTP pyrophosphokinase YwaC</t>
  </si>
  <si>
    <t>0.01456 (0.03476)</t>
  </si>
  <si>
    <t>menA</t>
  </si>
  <si>
    <t>3950729-3951661</t>
  </si>
  <si>
    <t>1,4-dihydroxy-2-naphthoateoctaprenyltransferase</t>
  </si>
  <si>
    <t>0.02336 (0.01878)</t>
  </si>
  <si>
    <t>0.05088 (0.02624)</t>
  </si>
  <si>
    <t>ywzH</t>
  </si>
  <si>
    <t>3952108-3952254</t>
  </si>
  <si>
    <t>dltB</t>
  </si>
  <si>
    <t>3953783-3954967</t>
  </si>
  <si>
    <t>protein DltB</t>
  </si>
  <si>
    <t>0.07258 (0.02756)</t>
  </si>
  <si>
    <t>0.00586 (0.00705)</t>
  </si>
  <si>
    <t>dltC</t>
  </si>
  <si>
    <t>3954987-3955220</t>
  </si>
  <si>
    <t>D-alanine--poly(phosphoribitol) ligase subunit2</t>
  </si>
  <si>
    <t>dltE</t>
  </si>
  <si>
    <t>3956492-3957247</t>
  </si>
  <si>
    <t>0.09466 (0.09947)</t>
  </si>
  <si>
    <t>ywaA</t>
  </si>
  <si>
    <t>3957391-3958479</t>
  </si>
  <si>
    <t>branched-chain-amino acid aminotransferase 2</t>
  </si>
  <si>
    <t>0.04106 (0.01667)</t>
  </si>
  <si>
    <t>0.03319 (0.03276)</t>
  </si>
  <si>
    <t>licA</t>
  </si>
  <si>
    <t>3959844-3960173</t>
  </si>
  <si>
    <t>PTS system-lichenan-specific transporter subunitIIA</t>
  </si>
  <si>
    <t>0.05321 (0.03991)</t>
  </si>
  <si>
    <t>licB</t>
  </si>
  <si>
    <t>3961569-3961874</t>
  </si>
  <si>
    <t>PTS system-lichenan-specific transporter subunitIIB</t>
  </si>
  <si>
    <t>0.02196 (0.02972)</t>
  </si>
  <si>
    <t>yxzF</t>
  </si>
  <si>
    <t>3964094-3964249</t>
  </si>
  <si>
    <t>yxlE</t>
  </si>
  <si>
    <t>3969614-3969799</t>
  </si>
  <si>
    <t>negative regulatory protein YxlE</t>
  </si>
  <si>
    <t>0.08604 (0.08813)</t>
  </si>
  <si>
    <t>cydB</t>
  </si>
  <si>
    <t>3976794-3977807</t>
  </si>
  <si>
    <t>cytochrome d ubiquinol oxidase subunit 2</t>
  </si>
  <si>
    <t>0.01921 (0.01533)</t>
  </si>
  <si>
    <t>0.03786 (0.02205)</t>
  </si>
  <si>
    <t>cydA</t>
  </si>
  <si>
    <t>3977794-3979197</t>
  </si>
  <si>
    <t>cytochrome d ubiquinol oxidase subunit 1</t>
  </si>
  <si>
    <t>0.02232 (0.03114)</t>
  </si>
  <si>
    <t>yxkC</t>
  </si>
  <si>
    <t>3989232-3989870</t>
  </si>
  <si>
    <t>0.01914 (0.02850)</t>
  </si>
  <si>
    <t>0.03172 (0.00000)</t>
  </si>
  <si>
    <t>yxjG</t>
  </si>
  <si>
    <t>3999350-4000483</t>
  </si>
  <si>
    <t>0.06871 (0.00490)</t>
  </si>
  <si>
    <t>0.02653 (0.01443)</t>
  </si>
  <si>
    <t>yxjA</t>
  </si>
  <si>
    <t>4005752-4006942</t>
  </si>
  <si>
    <t>purine nucleoside transport protein NupG</t>
  </si>
  <si>
    <t>0.01401 (0.01707)</t>
  </si>
  <si>
    <t>0.05091 (0.00000)</t>
  </si>
  <si>
    <t>yxzJ</t>
  </si>
  <si>
    <t>4019008-4019136</t>
  </si>
  <si>
    <t>0.39797 (0.27092)</t>
  </si>
  <si>
    <t>0.48529 (0.34315)</t>
  </si>
  <si>
    <t>wapA</t>
  </si>
  <si>
    <t>4023547-4030548</t>
  </si>
  <si>
    <t>wall-associated protein</t>
  </si>
  <si>
    <t>0.05584 (0.01612)</t>
  </si>
  <si>
    <t>0.02314 (0.00000)</t>
  </si>
  <si>
    <t>bglH</t>
  </si>
  <si>
    <t>4032349-4033755</t>
  </si>
  <si>
    <t>aryl-phospho-beta-d-glucosidase BglH</t>
  </si>
  <si>
    <t>0.05210 (0.03006)</t>
  </si>
  <si>
    <t>0.04916 (0.00000)</t>
  </si>
  <si>
    <t>yxiC</t>
  </si>
  <si>
    <t>4038516-4038782</t>
  </si>
  <si>
    <t>yxiB</t>
  </si>
  <si>
    <t>4038797-4039159</t>
  </si>
  <si>
    <t>0.11334 (0.09072)</t>
  </si>
  <si>
    <t>0.11393 (0.00000)</t>
  </si>
  <si>
    <t>hutP</t>
  </si>
  <si>
    <t>4041483-4041935</t>
  </si>
  <si>
    <t>anti-terminator HutP</t>
  </si>
  <si>
    <t>hutU</t>
  </si>
  <si>
    <t>4043574-4045229</t>
  </si>
  <si>
    <t>urocanate hydratase</t>
  </si>
  <si>
    <t>0.03135 (0.04465)</t>
  </si>
  <si>
    <t>0.03341 (0.00000)</t>
  </si>
  <si>
    <t>yxeO</t>
  </si>
  <si>
    <t>4058032-4058778</t>
  </si>
  <si>
    <t>amino acid import ATP-binding protein YxeO</t>
  </si>
  <si>
    <t>0.03637 (0.01145)</t>
  </si>
  <si>
    <t>0.05809 (0.05644)</t>
  </si>
  <si>
    <t>yxeN</t>
  </si>
  <si>
    <t>4058794-4059465</t>
  </si>
  <si>
    <t>amino acid permease protein YxeN</t>
  </si>
  <si>
    <t>0.03089 (0.01228)</t>
  </si>
  <si>
    <t>0.04082 (0.03969)</t>
  </si>
  <si>
    <t>yxeH</t>
  </si>
  <si>
    <t>4063687-4064496</t>
  </si>
  <si>
    <t>0.04437 (0.01130)</t>
  </si>
  <si>
    <t>0.09497 (0.06092)</t>
  </si>
  <si>
    <t>yxeE</t>
  </si>
  <si>
    <t>4065597-4065959</t>
  </si>
  <si>
    <t>yxeD</t>
  </si>
  <si>
    <t>4066210-4066560</t>
  </si>
  <si>
    <t>0.11167 (0.03307)</t>
  </si>
  <si>
    <t>0.01875 (0.02248)</t>
  </si>
  <si>
    <t>yxeC</t>
  </si>
  <si>
    <t>4066610-4067005</t>
  </si>
  <si>
    <t>0.03658 (0.08714)</t>
  </si>
  <si>
    <t>yxeB</t>
  </si>
  <si>
    <t>4067183-4068145</t>
  </si>
  <si>
    <t>iron(3+)-hydroxamate-binding protein YxeB</t>
  </si>
  <si>
    <t>0.07251 (0.06743)</t>
  </si>
  <si>
    <t>yxeA</t>
  </si>
  <si>
    <t>4068192-4068536</t>
  </si>
  <si>
    <t>0.27698 (0.09687)</t>
  </si>
  <si>
    <t>0.06766 (0.00000)</t>
  </si>
  <si>
    <t>yxdM</t>
  </si>
  <si>
    <t>4068553-4070418</t>
  </si>
  <si>
    <t>0.10931 (0.05953)</t>
  </si>
  <si>
    <t>0.13354 (0.06396)</t>
  </si>
  <si>
    <t>yxdL</t>
  </si>
  <si>
    <t>4070396-4071166</t>
  </si>
  <si>
    <t>0.02499 (0.01462)</t>
  </si>
  <si>
    <t>0.21517 (0.00000)</t>
  </si>
  <si>
    <t>yxdK</t>
  </si>
  <si>
    <t>4071313-4072287</t>
  </si>
  <si>
    <t>sensor histidine kinase</t>
  </si>
  <si>
    <t>0.11963 (0.06919)</t>
  </si>
  <si>
    <t>0.15236 (0.00000)</t>
  </si>
  <si>
    <t>yxdJ</t>
  </si>
  <si>
    <t>4072287-4072973</t>
  </si>
  <si>
    <t>0.05920 (0.12132)</t>
  </si>
  <si>
    <t>iolJ</t>
  </si>
  <si>
    <t>4073084-4073953</t>
  </si>
  <si>
    <t>6-phospho-5-dehydro-2-deoxy-D-gluconatealdolase</t>
  </si>
  <si>
    <t>0.12347 (0.22411)</t>
  </si>
  <si>
    <t>0.08348 (0.01606)</t>
  </si>
  <si>
    <t>iolI</t>
  </si>
  <si>
    <t>4073977-4074810</t>
  </si>
  <si>
    <t>inosose isomerase</t>
  </si>
  <si>
    <t>0.03764 (0.02358)</t>
  </si>
  <si>
    <t>0.06830 (0.00000)</t>
  </si>
  <si>
    <t>iolH</t>
  </si>
  <si>
    <t>4074899-4075765</t>
  </si>
  <si>
    <t>myo-inositol catabolism protein IolH</t>
  </si>
  <si>
    <t>0.01302 (0.00492)</t>
  </si>
  <si>
    <t>0.01318 (0.01022)</t>
  </si>
  <si>
    <t>iolC</t>
  </si>
  <si>
    <t>4081032-4082006</t>
  </si>
  <si>
    <t>5-dehydro-2-deoxygluconokinase</t>
  </si>
  <si>
    <t>0.04818 (0.01082)</t>
  </si>
  <si>
    <t>0.07946 (0.02676)</t>
  </si>
  <si>
    <t>iolR</t>
  </si>
  <si>
    <t>4084799-4085551</t>
  </si>
  <si>
    <t>HTH-type transcriptional regulator IolR</t>
  </si>
  <si>
    <t>0.02223 (0.05124)</t>
  </si>
  <si>
    <t>iolS</t>
  </si>
  <si>
    <t>4085608-4086537</t>
  </si>
  <si>
    <t>aldo/keto reductase family protein IolS</t>
  </si>
  <si>
    <t>0.02187 (0.02873)</t>
  </si>
  <si>
    <t>yxaF</t>
  </si>
  <si>
    <t>4107355-4107927</t>
  </si>
  <si>
    <t>HTH-type transcriptional regulator YxaF</t>
  </si>
  <si>
    <t>0.12293 (0.07711)</t>
  </si>
  <si>
    <t>0.18558 (0.21213)</t>
  </si>
  <si>
    <t>yxaD</t>
  </si>
  <si>
    <t>4109188-4109616</t>
  </si>
  <si>
    <t>HTH-type transcriptional regulator YxaD</t>
  </si>
  <si>
    <t>0.02925 (0.01853)</t>
  </si>
  <si>
    <t>0.09090 (0.00000)</t>
  </si>
  <si>
    <t>ahpC</t>
  </si>
  <si>
    <t>4118950-4119510</t>
  </si>
  <si>
    <t>alkyl hydroperoxide reductase subunit C</t>
  </si>
  <si>
    <t>0.05156 (0.04521)</t>
  </si>
  <si>
    <t>0.14004 (0.15579)</t>
  </si>
  <si>
    <t>ahpF</t>
  </si>
  <si>
    <t>4119527-4121053</t>
  </si>
  <si>
    <t>NADH dehydrogenase</t>
  </si>
  <si>
    <t>0.04768 (0.03813)</t>
  </si>
  <si>
    <t>0.02429 (0.02410)</t>
  </si>
  <si>
    <t>fbp</t>
  </si>
  <si>
    <t>4128029-4130041</t>
  </si>
  <si>
    <t>fructose-1,6-bisphosphatase</t>
  </si>
  <si>
    <t>0.03091 (0.00165)</t>
  </si>
  <si>
    <t>0.08011 (0.00000)</t>
  </si>
  <si>
    <t>yydA</t>
  </si>
  <si>
    <t>4134439-4134915</t>
  </si>
  <si>
    <t>23S rRNA(pseudouridine(1915)-N(3))-methyltransferase RlmH</t>
  </si>
  <si>
    <t>0.01079 (0.01628)</t>
  </si>
  <si>
    <t>0.09573 (0.00000)</t>
  </si>
  <si>
    <t>yyzF</t>
  </si>
  <si>
    <t>4134999-4135166</t>
  </si>
  <si>
    <t>0.06488 (0.05803)</t>
  </si>
  <si>
    <t>yycJ</t>
  </si>
  <si>
    <t>4148854-4149645</t>
  </si>
  <si>
    <t>metallo-hydrolase YycJ</t>
  </si>
  <si>
    <t>walK</t>
  </si>
  <si>
    <t>4151856-4153688</t>
  </si>
  <si>
    <t>0.01662 (0.03539)</t>
  </si>
  <si>
    <t>walR</t>
  </si>
  <si>
    <t>4153699-4154403</t>
  </si>
  <si>
    <t>purA</t>
  </si>
  <si>
    <t>4155436-4156725</t>
  </si>
  <si>
    <t>adenylosuccinate synthase</t>
  </si>
  <si>
    <t>0.02389 (0.01410)</t>
  </si>
  <si>
    <t>0.02624 (0.03513)</t>
  </si>
  <si>
    <t>dnaC</t>
  </si>
  <si>
    <t>4157474-4158835</t>
  </si>
  <si>
    <t>replicative DNA helicase</t>
  </si>
  <si>
    <t>0.02007 (0.01138)</t>
  </si>
  <si>
    <t>0.00521 (0.00642)</t>
  </si>
  <si>
    <t>yycC</t>
  </si>
  <si>
    <t>4159577-4159714</t>
  </si>
  <si>
    <t>rplI</t>
  </si>
  <si>
    <t>4163200-4163646</t>
  </si>
  <si>
    <t>50S ribosomal protein L9</t>
  </si>
  <si>
    <t>0.01440 (0.03299)</t>
  </si>
  <si>
    <t>yybT</t>
  </si>
  <si>
    <t>4163646-4165622</t>
  </si>
  <si>
    <t>0.01310 (0.02574)</t>
  </si>
  <si>
    <t>0.02168 (0.02662)</t>
  </si>
  <si>
    <t>yybS</t>
  </si>
  <si>
    <t>4165662-4166588</t>
  </si>
  <si>
    <t>0.22158 (0.11304)</t>
  </si>
  <si>
    <t>0.18065 (0.23356)</t>
  </si>
  <si>
    <t>yyzH</t>
  </si>
  <si>
    <t>4166818-4166964</t>
  </si>
  <si>
    <t>ppaC</t>
  </si>
  <si>
    <t>4168204-4169130</t>
  </si>
  <si>
    <t>manganese-dependent inorganic pyrophosphatase</t>
  </si>
  <si>
    <t>0.01689 (0.04348)</t>
  </si>
  <si>
    <t>rpsR</t>
  </si>
  <si>
    <t>4198606-4198842</t>
  </si>
  <si>
    <t>30S ribosomal protein S18</t>
  </si>
  <si>
    <t>ssbA</t>
  </si>
  <si>
    <t>4198889-4199404</t>
  </si>
  <si>
    <t>single-stranded DNA-binding protein</t>
  </si>
  <si>
    <t>0.04825 (0.06045)</t>
  </si>
  <si>
    <t>rpsF</t>
  </si>
  <si>
    <t>4199448-4199732</t>
  </si>
  <si>
    <t>30S ribosomal protein S6</t>
  </si>
  <si>
    <t>yyzM</t>
  </si>
  <si>
    <t>4203127-4203330</t>
  </si>
  <si>
    <t>parB</t>
  </si>
  <si>
    <t>4205559-4206404</t>
  </si>
  <si>
    <t>stage 0 sporulation protein J</t>
  </si>
  <si>
    <t>0.04440 (0.04606)</t>
  </si>
  <si>
    <t>parA</t>
  </si>
  <si>
    <t>4206400-4207158</t>
  </si>
  <si>
    <t>sporulation initiation inhibitor protein Soj</t>
  </si>
  <si>
    <t>noc</t>
  </si>
  <si>
    <t>4207900-4208748</t>
  </si>
  <si>
    <t>nucleoid occlusion protein</t>
  </si>
  <si>
    <t>0.02805 (0.05145)</t>
  </si>
  <si>
    <t>0.02383 (0.03098)</t>
  </si>
  <si>
    <t>gidB</t>
  </si>
  <si>
    <t>4208873-4209589</t>
  </si>
  <si>
    <t>ribosomal RNA small subunit methyltransferase G</t>
  </si>
  <si>
    <t>0.03611 (0.03294)</t>
  </si>
  <si>
    <t>0.04403 (0.01982)</t>
  </si>
  <si>
    <t>gidA</t>
  </si>
  <si>
    <t>4209606-4211489</t>
  </si>
  <si>
    <t>tRNA uridine 5-carboxymethylaminomethylmodification enzyme MnmG</t>
  </si>
  <si>
    <t>0.02025 (0.02235)</t>
  </si>
  <si>
    <t>trmE</t>
  </si>
  <si>
    <t>4211513-4212889</t>
  </si>
  <si>
    <t>tRNA modification GTPase MnmE</t>
  </si>
  <si>
    <t>0.03039 (0.03137)</t>
  </si>
  <si>
    <t>0.01949 (0.02330)</t>
  </si>
  <si>
    <t>spoIIIJ</t>
  </si>
  <si>
    <t>4213826-4214608</t>
  </si>
  <si>
    <t>membrane protein insertase MisCA</t>
  </si>
  <si>
    <t>0.04133 (0.07908)</t>
  </si>
  <si>
    <t>0.03245 (0.00933)</t>
  </si>
  <si>
    <t>rnpA</t>
  </si>
  <si>
    <t>4214756-4215103</t>
  </si>
  <si>
    <t>ribonuclease P protein component</t>
  </si>
  <si>
    <t>0.18346 (0.12400)</t>
  </si>
  <si>
    <t>rpmH</t>
  </si>
  <si>
    <t>4215258-4215389</t>
  </si>
  <si>
    <t>50S ribosomal protein L34</t>
  </si>
  <si>
    <t>def</t>
  </si>
  <si>
    <t>1526198-1526749</t>
  </si>
  <si>
    <t>peptide deformylase</t>
  </si>
  <si>
    <t>0.11994 (0.09776)</t>
  </si>
  <si>
    <t>mnmA</t>
  </si>
  <si>
    <t>2809416-2810528</t>
  </si>
  <si>
    <t>tRNA-specific 2-thiouridylase MnmA</t>
  </si>
  <si>
    <t>0.04558 (0.01451)</t>
  </si>
  <si>
    <t>0.02379 (0.02427)</t>
  </si>
  <si>
    <t>Number</t>
  </si>
  <si>
    <t>Pct.</t>
  </si>
  <si>
    <t>Selection:</t>
  </si>
  <si>
    <t>CD</t>
  </si>
  <si>
    <t>dN</t>
  </si>
  <si>
    <t>dS</t>
  </si>
  <si>
    <t>Avg</t>
  </si>
  <si>
    <t>STDEV</t>
  </si>
  <si>
    <t>SEM</t>
  </si>
  <si>
    <t>Convergent (Hot spot mutations)</t>
  </si>
  <si>
    <t>AVG</t>
  </si>
  <si>
    <t>SDM</t>
  </si>
  <si>
    <t>HS Muts</t>
  </si>
  <si>
    <t># w/hs</t>
  </si>
  <si>
    <t>Total genes</t>
  </si>
  <si>
    <t>Positive</t>
  </si>
  <si>
    <t>Total</t>
  </si>
  <si>
    <t>Total Added</t>
  </si>
  <si>
    <t>Length</t>
  </si>
  <si>
    <t>HO</t>
  </si>
  <si>
    <t>SdErr</t>
  </si>
  <si>
    <t>Genes w/HS</t>
  </si>
  <si>
    <t>Hotspots/gene</t>
  </si>
  <si>
    <t>% genes w/hs</t>
  </si>
  <si>
    <t>Ratio HO/CD</t>
  </si>
  <si>
    <t>Total Length</t>
  </si>
  <si>
    <t>Hotspots/Length</t>
  </si>
  <si>
    <t>CDS</t>
  </si>
  <si>
    <t>region</t>
  </si>
  <si>
    <t>start</t>
  </si>
  <si>
    <t>end</t>
  </si>
  <si>
    <t>z-value</t>
  </si>
  <si>
    <t>two-tailed p-value</t>
  </si>
  <si>
    <t>&lt; 0.0001  </t>
  </si>
  <si>
    <t>95% conf. interval</t>
  </si>
  <si>
    <t>fold</t>
  </si>
  <si>
    <t>% dN/dS &gt;1</t>
  </si>
  <si>
    <t>HO/CD</t>
  </si>
  <si>
    <t>Diversity</t>
  </si>
  <si>
    <t>Ho + CD</t>
  </si>
  <si>
    <t>Sequence diversity</t>
  </si>
  <si>
    <t>Average GC Skew (avg. of each gene's GC Skew)</t>
  </si>
  <si>
    <t>GC_skew</t>
  </si>
  <si>
    <t>Total Sum</t>
  </si>
  <si>
    <t>Number Genes Counted</t>
  </si>
  <si>
    <t>Average dN/dS</t>
  </si>
  <si>
    <t>Edited Data</t>
  </si>
  <si>
    <t>Total Muts</t>
  </si>
  <si>
    <t>Edited</t>
  </si>
  <si>
    <t>Nonsyn</t>
  </si>
  <si>
    <t>HSmut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</si>
</sst>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19" xfId="0" applyNumberFormat="1" applyBorder="1"/>
    <xf numFmtId="0" fontId="0" fillId="0" borderId="19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0" xfId="0" applyBorder="1"/>
    <xf numFmtId="10" fontId="0" fillId="0" borderId="22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6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6" xfId="0" applyBorder="1" applyAlignment="1">
      <alignment horizontal="center"/>
    </xf>
    <xf numFmtId="0" fontId="16" fillId="0" borderId="0" xfId="0" applyFont="1" applyBorder="1"/>
    <xf numFmtId="0" fontId="0" fillId="0" borderId="31" xfId="0" applyBorder="1"/>
    <xf numFmtId="0" fontId="0" fillId="0" borderId="20" xfId="0" applyBorder="1"/>
    <xf numFmtId="10" fontId="0" fillId="0" borderId="12" xfId="0" applyNumberFormat="1" applyBorder="1"/>
    <xf numFmtId="2" fontId="0" fillId="0" borderId="19" xfId="0" applyNumberFormat="1" applyBorder="1"/>
    <xf numFmtId="2" fontId="0" fillId="0" borderId="22" xfId="0" applyNumberFormat="1" applyBorder="1"/>
    <xf numFmtId="2" fontId="0" fillId="0" borderId="26" xfId="0" applyNumberFormat="1" applyBorder="1"/>
    <xf numFmtId="0" fontId="16" fillId="0" borderId="17" xfId="0" applyFont="1" applyBorder="1" applyAlignment="1">
      <alignment horizontal="center"/>
    </xf>
    <xf numFmtId="0" fontId="16" fillId="0" borderId="17" xfId="0" applyFont="1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16" xfId="0" applyFont="1" applyBorder="1" applyAlignment="1"/>
    <xf numFmtId="0" fontId="16" fillId="0" borderId="17" xfId="0" applyFont="1" applyBorder="1" applyAlignment="1"/>
    <xf numFmtId="0" fontId="0" fillId="0" borderId="18" xfId="0" applyBorder="1"/>
    <xf numFmtId="0" fontId="0" fillId="0" borderId="29" xfId="0" applyFill="1" applyBorder="1"/>
    <xf numFmtId="0" fontId="0" fillId="0" borderId="30" xfId="0" applyFill="1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34" xfId="0" applyFill="1" applyBorder="1"/>
    <xf numFmtId="0" fontId="0" fillId="0" borderId="34" xfId="0" applyBorder="1"/>
    <xf numFmtId="0" fontId="16" fillId="0" borderId="30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dN/dS vs. GC_skew</a:t>
            </a:r>
          </a:p>
          <a:p>
            <a:pPr>
              <a:defRPr/>
            </a:pPr>
            <a:r>
              <a:rPr lang="en-US"/>
              <a:t>(CD</a:t>
            </a:r>
            <a:r>
              <a:rPr lang="en-US" baseline="0"/>
              <a:t> Genes)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cd!$BJ$2</c:f>
              <c:strCache>
                <c:ptCount val="1"/>
                <c:pt idx="0">
                  <c:v>dN/dS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cd!$BK$4:$BK$736</c:f>
              <c:numCache>
                <c:formatCode>General</c:formatCode>
                <c:ptCount val="733"/>
                <c:pt idx="0">
                  <c:v>-3.7174721189590998E-3</c:v>
                </c:pt>
                <c:pt idx="1">
                  <c:v>5.3254437869822403E-2</c:v>
                </c:pt>
                <c:pt idx="2">
                  <c:v>6.1413673232908403E-2</c:v>
                </c:pt>
                <c:pt idx="3">
                  <c:v>8.4639498432601795E-2</c:v>
                </c:pt>
                <c:pt idx="4">
                  <c:v>8.4639498432601795E-2</c:v>
                </c:pt>
                <c:pt idx="5">
                  <c:v>0.13703703703703701</c:v>
                </c:pt>
                <c:pt idx="6">
                  <c:v>0.14987714987714901</c:v>
                </c:pt>
                <c:pt idx="7">
                  <c:v>0.108527131782945</c:v>
                </c:pt>
                <c:pt idx="8">
                  <c:v>0.317647058823529</c:v>
                </c:pt>
                <c:pt idx="9">
                  <c:v>8.6956521739130405E-2</c:v>
                </c:pt>
                <c:pt idx="10">
                  <c:v>6.0532687651331699E-2</c:v>
                </c:pt>
                <c:pt idx="11">
                  <c:v>0.21126760563380201</c:v>
                </c:pt>
                <c:pt idx="12">
                  <c:v>0.20588235294117599</c:v>
                </c:pt>
                <c:pt idx="13">
                  <c:v>0.139194139194139</c:v>
                </c:pt>
                <c:pt idx="14">
                  <c:v>0.17374517374517301</c:v>
                </c:pt>
                <c:pt idx="15">
                  <c:v>0.27058823529411702</c:v>
                </c:pt>
                <c:pt idx="16">
                  <c:v>0.17224880382775101</c:v>
                </c:pt>
                <c:pt idx="17">
                  <c:v>8.7431693989070997E-2</c:v>
                </c:pt>
                <c:pt idx="18">
                  <c:v>0.101796407185628</c:v>
                </c:pt>
                <c:pt idx="19">
                  <c:v>0.13636363636363599</c:v>
                </c:pt>
                <c:pt idx="20">
                  <c:v>0.16554054054053999</c:v>
                </c:pt>
                <c:pt idx="21">
                  <c:v>4.1769041769041698E-2</c:v>
                </c:pt>
                <c:pt idx="22">
                  <c:v>0.157894736842105</c:v>
                </c:pt>
                <c:pt idx="23">
                  <c:v>7.8651685393258397E-2</c:v>
                </c:pt>
                <c:pt idx="24">
                  <c:v>4.0322580645161199E-2</c:v>
                </c:pt>
                <c:pt idx="25">
                  <c:v>0.165562913907284</c:v>
                </c:pt>
                <c:pt idx="26">
                  <c:v>0.16129032258064499</c:v>
                </c:pt>
                <c:pt idx="27">
                  <c:v>8.7999999999999995E-2</c:v>
                </c:pt>
                <c:pt idx="28">
                  <c:v>0.2018779342723</c:v>
                </c:pt>
                <c:pt idx="29">
                  <c:v>0.102272727272727</c:v>
                </c:pt>
                <c:pt idx="30">
                  <c:v>0.117117117117117</c:v>
                </c:pt>
                <c:pt idx="31">
                  <c:v>0.15167095115681201</c:v>
                </c:pt>
                <c:pt idx="32">
                  <c:v>8.5308056872037893E-2</c:v>
                </c:pt>
                <c:pt idx="33">
                  <c:v>0.17777777777777701</c:v>
                </c:pt>
                <c:pt idx="34">
                  <c:v>0.21603563474387499</c:v>
                </c:pt>
                <c:pt idx="35">
                  <c:v>2.4615384615384601E-2</c:v>
                </c:pt>
                <c:pt idx="36">
                  <c:v>0.126582278481012</c:v>
                </c:pt>
                <c:pt idx="37">
                  <c:v>8.2125603864734303E-2</c:v>
                </c:pt>
                <c:pt idx="38">
                  <c:v>0.142231947483588</c:v>
                </c:pt>
                <c:pt idx="39">
                  <c:v>0.17620137299771099</c:v>
                </c:pt>
                <c:pt idx="40">
                  <c:v>0.20541760722347599</c:v>
                </c:pt>
                <c:pt idx="41">
                  <c:v>0.14194577352471999</c:v>
                </c:pt>
                <c:pt idx="42">
                  <c:v>0.14385964912280699</c:v>
                </c:pt>
                <c:pt idx="43">
                  <c:v>9.6880131362889907E-2</c:v>
                </c:pt>
                <c:pt idx="44">
                  <c:v>8.7912087912087905E-2</c:v>
                </c:pt>
                <c:pt idx="45">
                  <c:v>0.162921348314606</c:v>
                </c:pt>
                <c:pt idx="46">
                  <c:v>0.29824561403508698</c:v>
                </c:pt>
                <c:pt idx="47">
                  <c:v>0.12781954887218</c:v>
                </c:pt>
                <c:pt idx="48">
                  <c:v>0.22727272727272699</c:v>
                </c:pt>
                <c:pt idx="49">
                  <c:v>8.1081081081081002E-2</c:v>
                </c:pt>
                <c:pt idx="50">
                  <c:v>6.8493150684931503E-2</c:v>
                </c:pt>
                <c:pt idx="51">
                  <c:v>0.15584415584415501</c:v>
                </c:pt>
                <c:pt idx="52">
                  <c:v>5.6000000000000001E-2</c:v>
                </c:pt>
                <c:pt idx="53">
                  <c:v>7.3321010474430001E-2</c:v>
                </c:pt>
                <c:pt idx="54">
                  <c:v>3.5294117647058802E-2</c:v>
                </c:pt>
                <c:pt idx="55">
                  <c:v>0.12621359223300899</c:v>
                </c:pt>
                <c:pt idx="56">
                  <c:v>-2.7322404371584699E-2</c:v>
                </c:pt>
                <c:pt idx="57">
                  <c:v>5.0505050505050497E-2</c:v>
                </c:pt>
                <c:pt idx="58">
                  <c:v>5.7395143487858701E-2</c:v>
                </c:pt>
                <c:pt idx="59">
                  <c:v>5.7361376673040103E-3</c:v>
                </c:pt>
                <c:pt idx="60">
                  <c:v>0.11524163568773201</c:v>
                </c:pt>
                <c:pt idx="61">
                  <c:v>3.03030303030303E-2</c:v>
                </c:pt>
                <c:pt idx="62">
                  <c:v>8.9285714285714204E-2</c:v>
                </c:pt>
                <c:pt idx="63">
                  <c:v>-2.1857923497267701E-2</c:v>
                </c:pt>
                <c:pt idx="64">
                  <c:v>6.8965517241379296E-2</c:v>
                </c:pt>
                <c:pt idx="65">
                  <c:v>0.105590062111801</c:v>
                </c:pt>
                <c:pt idx="66">
                  <c:v>0.11688311688311601</c:v>
                </c:pt>
                <c:pt idx="67">
                  <c:v>1.4925373134328301E-2</c:v>
                </c:pt>
                <c:pt idx="68">
                  <c:v>0.103092783505154</c:v>
                </c:pt>
                <c:pt idx="69">
                  <c:v>7.9482439926062798E-2</c:v>
                </c:pt>
                <c:pt idx="70">
                  <c:v>0.159010600706713</c:v>
                </c:pt>
                <c:pt idx="71">
                  <c:v>0.10886075949367</c:v>
                </c:pt>
                <c:pt idx="72">
                  <c:v>6.2111801242236003E-3</c:v>
                </c:pt>
                <c:pt idx="73">
                  <c:v>0.22222222222222199</c:v>
                </c:pt>
                <c:pt idx="74">
                  <c:v>0.22222222222222199</c:v>
                </c:pt>
                <c:pt idx="75">
                  <c:v>0.13390313390313299</c:v>
                </c:pt>
                <c:pt idx="76">
                  <c:v>5.5865921787709499E-3</c:v>
                </c:pt>
                <c:pt idx="77">
                  <c:v>0.22093023255813901</c:v>
                </c:pt>
                <c:pt idx="78">
                  <c:v>0.25862068965517199</c:v>
                </c:pt>
                <c:pt idx="79">
                  <c:v>0.117903930131004</c:v>
                </c:pt>
                <c:pt idx="80">
                  <c:v>0.120567375886524</c:v>
                </c:pt>
                <c:pt idx="81">
                  <c:v>0.109947643979057</c:v>
                </c:pt>
                <c:pt idx="82">
                  <c:v>0.13260530421216801</c:v>
                </c:pt>
                <c:pt idx="83">
                  <c:v>5.1886792452830101E-2</c:v>
                </c:pt>
                <c:pt idx="84">
                  <c:v>5.8823529411764698E-2</c:v>
                </c:pt>
                <c:pt idx="85">
                  <c:v>0.12476007677543099</c:v>
                </c:pt>
                <c:pt idx="86">
                  <c:v>0.25274725274725202</c:v>
                </c:pt>
                <c:pt idx="87">
                  <c:v>0.27272727272727199</c:v>
                </c:pt>
                <c:pt idx="88">
                  <c:v>0.27272727272727199</c:v>
                </c:pt>
                <c:pt idx="89">
                  <c:v>0.144859813084112</c:v>
                </c:pt>
                <c:pt idx="90">
                  <c:v>0.1875</c:v>
                </c:pt>
                <c:pt idx="91">
                  <c:v>3.8461538461538401E-2</c:v>
                </c:pt>
                <c:pt idx="92">
                  <c:v>0.18</c:v>
                </c:pt>
                <c:pt idx="93">
                  <c:v>8.1174438687392006E-2</c:v>
                </c:pt>
                <c:pt idx="94">
                  <c:v>8.6956521739130405E-2</c:v>
                </c:pt>
                <c:pt idx="95">
                  <c:v>0.122093023255813</c:v>
                </c:pt>
                <c:pt idx="96">
                  <c:v>7.5999999999999998E-2</c:v>
                </c:pt>
                <c:pt idx="97">
                  <c:v>0.112820512820512</c:v>
                </c:pt>
                <c:pt idx="98">
                  <c:v>0.123893805309734</c:v>
                </c:pt>
                <c:pt idx="99">
                  <c:v>7.0707070707070704E-2</c:v>
                </c:pt>
                <c:pt idx="100">
                  <c:v>3.8696537678207701E-2</c:v>
                </c:pt>
                <c:pt idx="101">
                  <c:v>0.24503311258278099</c:v>
                </c:pt>
                <c:pt idx="102">
                  <c:v>-9.85915492957746E-2</c:v>
                </c:pt>
                <c:pt idx="103">
                  <c:v>0.109634551495016</c:v>
                </c:pt>
                <c:pt idx="104">
                  <c:v>0.20945945945945901</c:v>
                </c:pt>
                <c:pt idx="105">
                  <c:v>3.0837004405286299E-2</c:v>
                </c:pt>
                <c:pt idx="106">
                  <c:v>5.2380952380952299E-2</c:v>
                </c:pt>
                <c:pt idx="107">
                  <c:v>8.43373493975903E-2</c:v>
                </c:pt>
                <c:pt idx="108">
                  <c:v>0.1005291005291</c:v>
                </c:pt>
                <c:pt idx="109">
                  <c:v>6.0773480662983402E-2</c:v>
                </c:pt>
                <c:pt idx="110">
                  <c:v>5.5837563451776602E-2</c:v>
                </c:pt>
                <c:pt idx="111">
                  <c:v>0.121019108280254</c:v>
                </c:pt>
                <c:pt idx="112">
                  <c:v>9.9656357388316102E-2</c:v>
                </c:pt>
                <c:pt idx="113">
                  <c:v>8.9655172413793102E-2</c:v>
                </c:pt>
                <c:pt idx="114">
                  <c:v>8.6172344689378705E-2</c:v>
                </c:pt>
                <c:pt idx="115">
                  <c:v>8.5959885386819399E-3</c:v>
                </c:pt>
                <c:pt idx="116">
                  <c:v>5.3613053613053602E-2</c:v>
                </c:pt>
                <c:pt idx="117">
                  <c:v>5.0279329608938501E-2</c:v>
                </c:pt>
                <c:pt idx="118">
                  <c:v>4.3824701195219098E-2</c:v>
                </c:pt>
                <c:pt idx="119">
                  <c:v>2.1052631578947299E-2</c:v>
                </c:pt>
                <c:pt idx="120">
                  <c:v>0.2</c:v>
                </c:pt>
                <c:pt idx="121">
                  <c:v>3.4722222222222203E-2</c:v>
                </c:pt>
                <c:pt idx="122">
                  <c:v>0.19</c:v>
                </c:pt>
                <c:pt idx="123">
                  <c:v>0.182608695652173</c:v>
                </c:pt>
                <c:pt idx="124">
                  <c:v>8.6142322097378196E-2</c:v>
                </c:pt>
                <c:pt idx="125">
                  <c:v>0.157894736842105</c:v>
                </c:pt>
                <c:pt idx="126">
                  <c:v>7.49354005167958E-2</c:v>
                </c:pt>
                <c:pt idx="127">
                  <c:v>0.25675675675675602</c:v>
                </c:pt>
                <c:pt idx="128">
                  <c:v>7.8873239436619696E-2</c:v>
                </c:pt>
                <c:pt idx="129">
                  <c:v>7.8873239436619696E-2</c:v>
                </c:pt>
                <c:pt idx="130">
                  <c:v>9.0909090909090898E-2</c:v>
                </c:pt>
                <c:pt idx="131">
                  <c:v>0.125</c:v>
                </c:pt>
                <c:pt idx="132">
                  <c:v>0.367088607594936</c:v>
                </c:pt>
                <c:pt idx="133">
                  <c:v>9.3877551020408095E-2</c:v>
                </c:pt>
                <c:pt idx="134">
                  <c:v>0.143911439114391</c:v>
                </c:pt>
                <c:pt idx="135">
                  <c:v>5.5837563451776602E-2</c:v>
                </c:pt>
                <c:pt idx="136">
                  <c:v>5.5837563451776602E-2</c:v>
                </c:pt>
                <c:pt idx="137">
                  <c:v>0.11038961038961</c:v>
                </c:pt>
                <c:pt idx="138">
                  <c:v>0.21904761904761899</c:v>
                </c:pt>
                <c:pt idx="139">
                  <c:v>0.114551083591331</c:v>
                </c:pt>
                <c:pt idx="140">
                  <c:v>8.7628865979381396E-2</c:v>
                </c:pt>
                <c:pt idx="141">
                  <c:v>0.112087912087912</c:v>
                </c:pt>
                <c:pt idx="142">
                  <c:v>4.22535211267605E-2</c:v>
                </c:pt>
                <c:pt idx="143">
                  <c:v>0.12195121951219499</c:v>
                </c:pt>
                <c:pt idx="144">
                  <c:v>1.5873015873015799E-2</c:v>
                </c:pt>
                <c:pt idx="145">
                  <c:v>2.09580838323353E-2</c:v>
                </c:pt>
                <c:pt idx="146">
                  <c:v>3.64025695931477E-2</c:v>
                </c:pt>
                <c:pt idx="147">
                  <c:v>0.14388489208633001</c:v>
                </c:pt>
                <c:pt idx="148">
                  <c:v>0.108108108108108</c:v>
                </c:pt>
                <c:pt idx="149">
                  <c:v>0.10032362459546899</c:v>
                </c:pt>
                <c:pt idx="150">
                  <c:v>0.102158273381294</c:v>
                </c:pt>
                <c:pt idx="151">
                  <c:v>0.12903225806451599</c:v>
                </c:pt>
                <c:pt idx="152">
                  <c:v>2.1077283372365301E-2</c:v>
                </c:pt>
                <c:pt idx="153">
                  <c:v>6.25E-2</c:v>
                </c:pt>
                <c:pt idx="154">
                  <c:v>0.126436781609195</c:v>
                </c:pt>
                <c:pt idx="155">
                  <c:v>0.17171717171717099</c:v>
                </c:pt>
                <c:pt idx="156">
                  <c:v>3.7821482602117998E-2</c:v>
                </c:pt>
                <c:pt idx="157">
                  <c:v>0.15470494417862801</c:v>
                </c:pt>
                <c:pt idx="158">
                  <c:v>0.15470494417862801</c:v>
                </c:pt>
                <c:pt idx="159">
                  <c:v>0.12676056338028099</c:v>
                </c:pt>
                <c:pt idx="160">
                  <c:v>0.17333333333333301</c:v>
                </c:pt>
                <c:pt idx="161">
                  <c:v>2.8213166144200601E-2</c:v>
                </c:pt>
                <c:pt idx="162">
                  <c:v>0.19480519480519401</c:v>
                </c:pt>
                <c:pt idx="163">
                  <c:v>9.0909090909090898E-2</c:v>
                </c:pt>
                <c:pt idx="164">
                  <c:v>0.02</c:v>
                </c:pt>
                <c:pt idx="165">
                  <c:v>0.16279069767441801</c:v>
                </c:pt>
                <c:pt idx="166">
                  <c:v>0.16279069767441801</c:v>
                </c:pt>
                <c:pt idx="167">
                  <c:v>3.03030303030303E-2</c:v>
                </c:pt>
                <c:pt idx="168">
                  <c:v>0.16306954436450799</c:v>
                </c:pt>
                <c:pt idx="169">
                  <c:v>0.132382892057026</c:v>
                </c:pt>
                <c:pt idx="170">
                  <c:v>3.5294117647058802E-2</c:v>
                </c:pt>
                <c:pt idx="171">
                  <c:v>7.2847682119205295E-2</c:v>
                </c:pt>
                <c:pt idx="172">
                  <c:v>5.9679767103347797E-2</c:v>
                </c:pt>
                <c:pt idx="173">
                  <c:v>0.109947643979057</c:v>
                </c:pt>
                <c:pt idx="174">
                  <c:v>0.10188679245283</c:v>
                </c:pt>
                <c:pt idx="175">
                  <c:v>0.31818181818181801</c:v>
                </c:pt>
                <c:pt idx="176">
                  <c:v>0.165562913907284</c:v>
                </c:pt>
                <c:pt idx="177">
                  <c:v>0.214285714285714</c:v>
                </c:pt>
                <c:pt idx="178">
                  <c:v>-0.25581395348837199</c:v>
                </c:pt>
                <c:pt idx="179">
                  <c:v>0.118840579710144</c:v>
                </c:pt>
                <c:pt idx="180">
                  <c:v>8.66141732283464E-2</c:v>
                </c:pt>
                <c:pt idx="181">
                  <c:v>6.9767441860465101E-2</c:v>
                </c:pt>
                <c:pt idx="182">
                  <c:v>0.11864406779661001</c:v>
                </c:pt>
                <c:pt idx="183">
                  <c:v>0.161904761904761</c:v>
                </c:pt>
                <c:pt idx="184">
                  <c:v>0.11363636363636299</c:v>
                </c:pt>
                <c:pt idx="185">
                  <c:v>0.140142517814726</c:v>
                </c:pt>
                <c:pt idx="186">
                  <c:v>2.4691358024691301E-2</c:v>
                </c:pt>
                <c:pt idx="187">
                  <c:v>8.7804878048780399E-2</c:v>
                </c:pt>
                <c:pt idx="188">
                  <c:v>5.6000000000000001E-2</c:v>
                </c:pt>
                <c:pt idx="189">
                  <c:v>2.5000000000000001E-2</c:v>
                </c:pt>
                <c:pt idx="190">
                  <c:v>4.1942604856512099E-2</c:v>
                </c:pt>
                <c:pt idx="191">
                  <c:v>0.161904761904761</c:v>
                </c:pt>
                <c:pt idx="192">
                  <c:v>6.6985645933014301E-2</c:v>
                </c:pt>
                <c:pt idx="193">
                  <c:v>6.5693430656934296E-2</c:v>
                </c:pt>
                <c:pt idx="194">
                  <c:v>0.1163708086785</c:v>
                </c:pt>
                <c:pt idx="195">
                  <c:v>9.7087378640776698E-2</c:v>
                </c:pt>
                <c:pt idx="196">
                  <c:v>0.21266968325791799</c:v>
                </c:pt>
                <c:pt idx="197">
                  <c:v>-2.40963855421686E-2</c:v>
                </c:pt>
                <c:pt idx="198">
                  <c:v>0.14828897338402999</c:v>
                </c:pt>
                <c:pt idx="199">
                  <c:v>0.164383561643835</c:v>
                </c:pt>
                <c:pt idx="200">
                  <c:v>0.12802768166089901</c:v>
                </c:pt>
                <c:pt idx="201">
                  <c:v>-1.11731843575419E-2</c:v>
                </c:pt>
                <c:pt idx="202">
                  <c:v>0.18</c:v>
                </c:pt>
                <c:pt idx="203">
                  <c:v>0</c:v>
                </c:pt>
                <c:pt idx="204">
                  <c:v>0</c:v>
                </c:pt>
                <c:pt idx="205">
                  <c:v>1.5094339622641499E-2</c:v>
                </c:pt>
                <c:pt idx="206">
                  <c:v>3.24675324675324E-3</c:v>
                </c:pt>
                <c:pt idx="207">
                  <c:v>0.164874551971326</c:v>
                </c:pt>
                <c:pt idx="208">
                  <c:v>8.0357142857142794E-2</c:v>
                </c:pt>
                <c:pt idx="209">
                  <c:v>0.184275184275184</c:v>
                </c:pt>
                <c:pt idx="210">
                  <c:v>1.56599552572706E-2</c:v>
                </c:pt>
                <c:pt idx="211">
                  <c:v>0.12918660287081299</c:v>
                </c:pt>
                <c:pt idx="212">
                  <c:v>-4.6511627906976702E-2</c:v>
                </c:pt>
                <c:pt idx="213">
                  <c:v>0.104602510460251</c:v>
                </c:pt>
                <c:pt idx="214">
                  <c:v>0.225806451612903</c:v>
                </c:pt>
                <c:pt idx="215">
                  <c:v>0.12121212121212099</c:v>
                </c:pt>
                <c:pt idx="216">
                  <c:v>0.12765957446808501</c:v>
                </c:pt>
                <c:pt idx="217">
                  <c:v>0.238095238095238</c:v>
                </c:pt>
                <c:pt idx="218">
                  <c:v>0.12849162011173099</c:v>
                </c:pt>
                <c:pt idx="219">
                  <c:v>2.4390243902439001E-2</c:v>
                </c:pt>
                <c:pt idx="220">
                  <c:v>5.0108932461873597E-2</c:v>
                </c:pt>
                <c:pt idx="221">
                  <c:v>8.5889570552147201E-2</c:v>
                </c:pt>
                <c:pt idx="222">
                  <c:v>8.0797481636935994E-2</c:v>
                </c:pt>
                <c:pt idx="223">
                  <c:v>7.0572569906790894E-2</c:v>
                </c:pt>
                <c:pt idx="224">
                  <c:v>7.5880758807588003E-2</c:v>
                </c:pt>
                <c:pt idx="225">
                  <c:v>6.5217391304347797E-2</c:v>
                </c:pt>
                <c:pt idx="226">
                  <c:v>1.3215859030837E-2</c:v>
                </c:pt>
                <c:pt idx="227">
                  <c:v>0.14285714285714199</c:v>
                </c:pt>
                <c:pt idx="228">
                  <c:v>0.247524752475247</c:v>
                </c:pt>
                <c:pt idx="229">
                  <c:v>0.160714285714285</c:v>
                </c:pt>
                <c:pt idx="230">
                  <c:v>7.0063694267515894E-2</c:v>
                </c:pt>
                <c:pt idx="231">
                  <c:v>8.8669950738916203E-2</c:v>
                </c:pt>
                <c:pt idx="232">
                  <c:v>0.13114754098360601</c:v>
                </c:pt>
                <c:pt idx="233">
                  <c:v>7.9943899018232803E-2</c:v>
                </c:pt>
                <c:pt idx="234">
                  <c:v>9.41176470588235E-2</c:v>
                </c:pt>
                <c:pt idx="235">
                  <c:v>3.3057851239669402E-2</c:v>
                </c:pt>
                <c:pt idx="236">
                  <c:v>4.54545454545454E-2</c:v>
                </c:pt>
                <c:pt idx="237">
                  <c:v>4.2444821731748697E-2</c:v>
                </c:pt>
                <c:pt idx="238">
                  <c:v>7.7901430842607297E-2</c:v>
                </c:pt>
                <c:pt idx="239">
                  <c:v>0.23404255319148901</c:v>
                </c:pt>
                <c:pt idx="240">
                  <c:v>0.23728813559322001</c:v>
                </c:pt>
                <c:pt idx="241">
                  <c:v>8.1730769230769204E-2</c:v>
                </c:pt>
                <c:pt idx="242">
                  <c:v>0.15277777777777701</c:v>
                </c:pt>
                <c:pt idx="243">
                  <c:v>0.17241379310344801</c:v>
                </c:pt>
                <c:pt idx="244">
                  <c:v>0.10275689223057601</c:v>
                </c:pt>
                <c:pt idx="245">
                  <c:v>0.183585313174946</c:v>
                </c:pt>
                <c:pt idx="246">
                  <c:v>0.15183246073298401</c:v>
                </c:pt>
                <c:pt idx="247">
                  <c:v>4.0935672514619798E-2</c:v>
                </c:pt>
                <c:pt idx="248">
                  <c:v>0.122448979591836</c:v>
                </c:pt>
                <c:pt idx="249">
                  <c:v>0.225806451612903</c:v>
                </c:pt>
                <c:pt idx="250">
                  <c:v>0.20388349514563101</c:v>
                </c:pt>
                <c:pt idx="251">
                  <c:v>0.16129032258064499</c:v>
                </c:pt>
                <c:pt idx="252">
                  <c:v>0.19607843137254899</c:v>
                </c:pt>
                <c:pt idx="253">
                  <c:v>0.121495327102803</c:v>
                </c:pt>
                <c:pt idx="254">
                  <c:v>7.5376884422110504E-2</c:v>
                </c:pt>
                <c:pt idx="255">
                  <c:v>0.20152091254752799</c:v>
                </c:pt>
                <c:pt idx="256">
                  <c:v>0.123595505617977</c:v>
                </c:pt>
                <c:pt idx="257">
                  <c:v>9.8130841121495296E-2</c:v>
                </c:pt>
                <c:pt idx="258">
                  <c:v>0.103117505995203</c:v>
                </c:pt>
                <c:pt idx="259">
                  <c:v>9.68992248062015E-2</c:v>
                </c:pt>
                <c:pt idx="260">
                  <c:v>0.16008316008316001</c:v>
                </c:pt>
                <c:pt idx="261">
                  <c:v>0.19431279620853001</c:v>
                </c:pt>
                <c:pt idx="262">
                  <c:v>9.45945945945946E-2</c:v>
                </c:pt>
                <c:pt idx="263">
                  <c:v>0.16176470588235201</c:v>
                </c:pt>
                <c:pt idx="264">
                  <c:v>0.113043478260869</c:v>
                </c:pt>
                <c:pt idx="265">
                  <c:v>9.9264705882352894E-2</c:v>
                </c:pt>
                <c:pt idx="266">
                  <c:v>0.15223880597014899</c:v>
                </c:pt>
                <c:pt idx="267">
                  <c:v>0.30526315789473601</c:v>
                </c:pt>
                <c:pt idx="268">
                  <c:v>7.5718015665796307E-2</c:v>
                </c:pt>
                <c:pt idx="269">
                  <c:v>9.5541401273885301E-2</c:v>
                </c:pt>
                <c:pt idx="270">
                  <c:v>0.16831683168316799</c:v>
                </c:pt>
                <c:pt idx="271">
                  <c:v>0</c:v>
                </c:pt>
                <c:pt idx="272">
                  <c:v>0.11111111111111099</c:v>
                </c:pt>
                <c:pt idx="273">
                  <c:v>0.13368983957219199</c:v>
                </c:pt>
                <c:pt idx="274">
                  <c:v>8.3333333333333301E-2</c:v>
                </c:pt>
                <c:pt idx="275">
                  <c:v>7.3170731707316999E-2</c:v>
                </c:pt>
                <c:pt idx="276">
                  <c:v>0.175202156334231</c:v>
                </c:pt>
                <c:pt idx="277">
                  <c:v>7.5409836065573693E-2</c:v>
                </c:pt>
                <c:pt idx="278">
                  <c:v>0.17325227963525799</c:v>
                </c:pt>
                <c:pt idx="279">
                  <c:v>0.164948453608247</c:v>
                </c:pt>
                <c:pt idx="280">
                  <c:v>0.15830115830115801</c:v>
                </c:pt>
                <c:pt idx="281">
                  <c:v>0.12</c:v>
                </c:pt>
                <c:pt idx="282">
                  <c:v>6.1728395061728301E-2</c:v>
                </c:pt>
                <c:pt idx="283">
                  <c:v>0.15850144092219001</c:v>
                </c:pt>
                <c:pt idx="284">
                  <c:v>8.3969465648854894E-2</c:v>
                </c:pt>
                <c:pt idx="285">
                  <c:v>0.13043478260869501</c:v>
                </c:pt>
                <c:pt idx="286">
                  <c:v>0.14569536423841001</c:v>
                </c:pt>
                <c:pt idx="287">
                  <c:v>0.17460317460317401</c:v>
                </c:pt>
                <c:pt idx="288">
                  <c:v>0.123348017621145</c:v>
                </c:pt>
                <c:pt idx="289">
                  <c:v>9.2651757188498399E-2</c:v>
                </c:pt>
                <c:pt idx="290">
                  <c:v>0.203252032520325</c:v>
                </c:pt>
                <c:pt idx="291">
                  <c:v>0.137876386687797</c:v>
                </c:pt>
                <c:pt idx="292">
                  <c:v>-3.5087719298245598E-2</c:v>
                </c:pt>
                <c:pt idx="293">
                  <c:v>0.13157894736842099</c:v>
                </c:pt>
                <c:pt idx="294">
                  <c:v>0.17741935483870899</c:v>
                </c:pt>
                <c:pt idx="295">
                  <c:v>0.155131264916467</c:v>
                </c:pt>
                <c:pt idx="296">
                  <c:v>0.107438016528925</c:v>
                </c:pt>
                <c:pt idx="297">
                  <c:v>0.181102362204724</c:v>
                </c:pt>
                <c:pt idx="298">
                  <c:v>0.18666666666666601</c:v>
                </c:pt>
                <c:pt idx="299">
                  <c:v>0.11688311688311601</c:v>
                </c:pt>
                <c:pt idx="300">
                  <c:v>8.8235294117646995E-2</c:v>
                </c:pt>
                <c:pt idx="301">
                  <c:v>0.181347150259067</c:v>
                </c:pt>
                <c:pt idx="302">
                  <c:v>0.20476190476190401</c:v>
                </c:pt>
                <c:pt idx="303">
                  <c:v>0.17391304347826</c:v>
                </c:pt>
                <c:pt idx="304">
                  <c:v>0.104</c:v>
                </c:pt>
                <c:pt idx="305">
                  <c:v>9.5354523227383803E-2</c:v>
                </c:pt>
                <c:pt idx="306">
                  <c:v>0.14503816793893101</c:v>
                </c:pt>
                <c:pt idx="307">
                  <c:v>6.5573770491803199E-2</c:v>
                </c:pt>
                <c:pt idx="308">
                  <c:v>0.18947368421052599</c:v>
                </c:pt>
                <c:pt idx="309">
                  <c:v>0.128919860627177</c:v>
                </c:pt>
                <c:pt idx="310">
                  <c:v>0.154185022026431</c:v>
                </c:pt>
                <c:pt idx="311">
                  <c:v>0.154185022026431</c:v>
                </c:pt>
                <c:pt idx="312">
                  <c:v>0.10216718266253801</c:v>
                </c:pt>
                <c:pt idx="313">
                  <c:v>-1.00334448160535E-2</c:v>
                </c:pt>
                <c:pt idx="314">
                  <c:v>4.3956043956043897E-2</c:v>
                </c:pt>
                <c:pt idx="315">
                  <c:v>0.13479623824451401</c:v>
                </c:pt>
                <c:pt idx="316">
                  <c:v>0.10280373831775701</c:v>
                </c:pt>
                <c:pt idx="317">
                  <c:v>0.149700598802395</c:v>
                </c:pt>
                <c:pt idx="318">
                  <c:v>0.134146341463414</c:v>
                </c:pt>
                <c:pt idx="319">
                  <c:v>9.7560975609756101E-2</c:v>
                </c:pt>
                <c:pt idx="320">
                  <c:v>0.13153153153153099</c:v>
                </c:pt>
                <c:pt idx="321">
                  <c:v>0.18181818181818099</c:v>
                </c:pt>
                <c:pt idx="322">
                  <c:v>9.85915492957746E-2</c:v>
                </c:pt>
                <c:pt idx="323">
                  <c:v>9.5238095238095205E-2</c:v>
                </c:pt>
                <c:pt idx="324">
                  <c:v>0.168831168831168</c:v>
                </c:pt>
                <c:pt idx="325">
                  <c:v>0.108786610878661</c:v>
                </c:pt>
                <c:pt idx="326">
                  <c:v>0.103969754253308</c:v>
                </c:pt>
                <c:pt idx="327">
                  <c:v>7.2681704260651597E-2</c:v>
                </c:pt>
                <c:pt idx="328">
                  <c:v>5.6521739130434699E-2</c:v>
                </c:pt>
                <c:pt idx="329">
                  <c:v>6.9408740359897095E-2</c:v>
                </c:pt>
                <c:pt idx="330">
                  <c:v>5.7503506311360399E-2</c:v>
                </c:pt>
                <c:pt idx="331">
                  <c:v>7.2164948453608199E-2</c:v>
                </c:pt>
                <c:pt idx="332">
                  <c:v>7.7205882352941096E-2</c:v>
                </c:pt>
                <c:pt idx="333">
                  <c:v>0.171171171171171</c:v>
                </c:pt>
                <c:pt idx="334">
                  <c:v>0.12065439672801601</c:v>
                </c:pt>
                <c:pt idx="335">
                  <c:v>0.116666666666666</c:v>
                </c:pt>
                <c:pt idx="336">
                  <c:v>0.25396825396825301</c:v>
                </c:pt>
                <c:pt idx="337">
                  <c:v>0.128983308042488</c:v>
                </c:pt>
                <c:pt idx="338">
                  <c:v>-5.4644808743169399E-3</c:v>
                </c:pt>
                <c:pt idx="339">
                  <c:v>0.35714285714285698</c:v>
                </c:pt>
                <c:pt idx="340">
                  <c:v>0.194029850746268</c:v>
                </c:pt>
                <c:pt idx="341">
                  <c:v>1.9252548131370301E-2</c:v>
                </c:pt>
                <c:pt idx="342">
                  <c:v>0.12301013024602001</c:v>
                </c:pt>
                <c:pt idx="343">
                  <c:v>0.12301013024602001</c:v>
                </c:pt>
                <c:pt idx="344">
                  <c:v>0.12301013024602001</c:v>
                </c:pt>
                <c:pt idx="345">
                  <c:v>0.144859813084112</c:v>
                </c:pt>
                <c:pt idx="346">
                  <c:v>0.11340206185567001</c:v>
                </c:pt>
                <c:pt idx="347">
                  <c:v>4.8780487804878002E-2</c:v>
                </c:pt>
                <c:pt idx="348">
                  <c:v>-6.8027210884353704E-3</c:v>
                </c:pt>
                <c:pt idx="349">
                  <c:v>0.141762452107279</c:v>
                </c:pt>
                <c:pt idx="350">
                  <c:v>0.114814814814814</c:v>
                </c:pt>
                <c:pt idx="351">
                  <c:v>0.144508670520231</c:v>
                </c:pt>
                <c:pt idx="352">
                  <c:v>0.16498316498316401</c:v>
                </c:pt>
                <c:pt idx="353">
                  <c:v>0.18787878787878701</c:v>
                </c:pt>
                <c:pt idx="354">
                  <c:v>0.157894736842105</c:v>
                </c:pt>
                <c:pt idx="355">
                  <c:v>0.22727272727272699</c:v>
                </c:pt>
                <c:pt idx="356">
                  <c:v>7.9365079365079305E-2</c:v>
                </c:pt>
                <c:pt idx="357">
                  <c:v>4.1450777202072499E-2</c:v>
                </c:pt>
                <c:pt idx="358">
                  <c:v>0.194139194139194</c:v>
                </c:pt>
                <c:pt idx="359">
                  <c:v>0.18518518518518501</c:v>
                </c:pt>
                <c:pt idx="360">
                  <c:v>9.0909090909090898E-2</c:v>
                </c:pt>
                <c:pt idx="361">
                  <c:v>5.3333333333333302E-2</c:v>
                </c:pt>
                <c:pt idx="362">
                  <c:v>0.15384615384615299</c:v>
                </c:pt>
                <c:pt idx="363">
                  <c:v>0.113043478260869</c:v>
                </c:pt>
                <c:pt idx="364">
                  <c:v>0.15172413793103401</c:v>
                </c:pt>
                <c:pt idx="365">
                  <c:v>0.10294117647058799</c:v>
                </c:pt>
                <c:pt idx="366">
                  <c:v>0.223529411764705</c:v>
                </c:pt>
                <c:pt idx="367">
                  <c:v>9.9173553719008198E-2</c:v>
                </c:pt>
                <c:pt idx="368">
                  <c:v>0.15151515151515099</c:v>
                </c:pt>
                <c:pt idx="369">
                  <c:v>0.14490161001788901</c:v>
                </c:pt>
                <c:pt idx="370">
                  <c:v>0.18032786885245899</c:v>
                </c:pt>
                <c:pt idx="371">
                  <c:v>-1.53846153846153E-2</c:v>
                </c:pt>
                <c:pt idx="372">
                  <c:v>8.9316987740805598E-2</c:v>
                </c:pt>
                <c:pt idx="373">
                  <c:v>0.17647058823529399</c:v>
                </c:pt>
                <c:pt idx="374">
                  <c:v>0.16049382716049301</c:v>
                </c:pt>
                <c:pt idx="375">
                  <c:v>0.13766233766233699</c:v>
                </c:pt>
                <c:pt idx="376">
                  <c:v>3.125E-2</c:v>
                </c:pt>
                <c:pt idx="377">
                  <c:v>0.25179856115107901</c:v>
                </c:pt>
                <c:pt idx="378">
                  <c:v>0.16847826086956499</c:v>
                </c:pt>
                <c:pt idx="379">
                  <c:v>0.13099041533546299</c:v>
                </c:pt>
                <c:pt idx="380">
                  <c:v>0.139130434782608</c:v>
                </c:pt>
                <c:pt idx="381">
                  <c:v>0.133333333333333</c:v>
                </c:pt>
                <c:pt idx="382">
                  <c:v>0.17253521126760499</c:v>
                </c:pt>
                <c:pt idx="383">
                  <c:v>0.15025906735751199</c:v>
                </c:pt>
                <c:pt idx="384">
                  <c:v>9.7949886104783598E-2</c:v>
                </c:pt>
                <c:pt idx="385">
                  <c:v>0.17868338557993699</c:v>
                </c:pt>
                <c:pt idx="386">
                  <c:v>1.01694915254237E-2</c:v>
                </c:pt>
                <c:pt idx="387">
                  <c:v>0.11340206185567001</c:v>
                </c:pt>
                <c:pt idx="388">
                  <c:v>0.106870229007633</c:v>
                </c:pt>
                <c:pt idx="389">
                  <c:v>0.15440115440115401</c:v>
                </c:pt>
                <c:pt idx="390">
                  <c:v>0.146341463414634</c:v>
                </c:pt>
                <c:pt idx="391">
                  <c:v>0.167701863354037</c:v>
                </c:pt>
                <c:pt idx="392">
                  <c:v>0.16637478108581399</c:v>
                </c:pt>
                <c:pt idx="393">
                  <c:v>0.109311740890688</c:v>
                </c:pt>
                <c:pt idx="394">
                  <c:v>0.131914893617021</c:v>
                </c:pt>
                <c:pt idx="395">
                  <c:v>0.113043478260869</c:v>
                </c:pt>
                <c:pt idx="396">
                  <c:v>0.154471544715447</c:v>
                </c:pt>
                <c:pt idx="397">
                  <c:v>0.13533834586466101</c:v>
                </c:pt>
                <c:pt idx="398">
                  <c:v>0.15409836065573701</c:v>
                </c:pt>
                <c:pt idx="399">
                  <c:v>0.112582781456953</c:v>
                </c:pt>
                <c:pt idx="400">
                  <c:v>0.13131313131313099</c:v>
                </c:pt>
                <c:pt idx="401">
                  <c:v>9.4202898550724598E-2</c:v>
                </c:pt>
                <c:pt idx="402">
                  <c:v>5.3846153846153801E-2</c:v>
                </c:pt>
                <c:pt idx="403">
                  <c:v>0.1875</c:v>
                </c:pt>
                <c:pt idx="404">
                  <c:v>7.0000000000000007E-2</c:v>
                </c:pt>
                <c:pt idx="405">
                  <c:v>0.103678929765886</c:v>
                </c:pt>
                <c:pt idx="406">
                  <c:v>0.15697674418604601</c:v>
                </c:pt>
                <c:pt idx="407">
                  <c:v>0.15384615384615299</c:v>
                </c:pt>
                <c:pt idx="408">
                  <c:v>0.11111111111111099</c:v>
                </c:pt>
                <c:pt idx="409">
                  <c:v>0.101851851851851</c:v>
                </c:pt>
                <c:pt idx="410">
                  <c:v>8.1761006289308102E-2</c:v>
                </c:pt>
                <c:pt idx="411">
                  <c:v>0.114583333333333</c:v>
                </c:pt>
                <c:pt idx="412">
                  <c:v>0.16211878009630801</c:v>
                </c:pt>
                <c:pt idx="413">
                  <c:v>6.1290322580645103E-2</c:v>
                </c:pt>
                <c:pt idx="414">
                  <c:v>3.1802120141342698E-2</c:v>
                </c:pt>
                <c:pt idx="415">
                  <c:v>0.182389937106918</c:v>
                </c:pt>
                <c:pt idx="416">
                  <c:v>0.113924050632911</c:v>
                </c:pt>
                <c:pt idx="417">
                  <c:v>0.16923076923076899</c:v>
                </c:pt>
                <c:pt idx="418">
                  <c:v>6.6298342541436406E-2</c:v>
                </c:pt>
                <c:pt idx="419">
                  <c:v>0.162907268170426</c:v>
                </c:pt>
                <c:pt idx="420">
                  <c:v>0.110132158590308</c:v>
                </c:pt>
                <c:pt idx="421">
                  <c:v>0.23076923076923</c:v>
                </c:pt>
                <c:pt idx="422">
                  <c:v>6.7010309278350499E-2</c:v>
                </c:pt>
                <c:pt idx="423">
                  <c:v>0.12707182320441901</c:v>
                </c:pt>
                <c:pt idx="424">
                  <c:v>0.10603588907014599</c:v>
                </c:pt>
                <c:pt idx="425">
                  <c:v>0.13357400722021601</c:v>
                </c:pt>
                <c:pt idx="426">
                  <c:v>2.8368794326241099E-2</c:v>
                </c:pt>
                <c:pt idx="427">
                  <c:v>4.9429657794676798E-2</c:v>
                </c:pt>
                <c:pt idx="428">
                  <c:v>1.9607843137254902E-2</c:v>
                </c:pt>
                <c:pt idx="429">
                  <c:v>8.7301587301587297E-2</c:v>
                </c:pt>
                <c:pt idx="430">
                  <c:v>4.5643153526970903E-2</c:v>
                </c:pt>
                <c:pt idx="431">
                  <c:v>0.13026052104208399</c:v>
                </c:pt>
                <c:pt idx="432">
                  <c:v>9.85915492957746E-2</c:v>
                </c:pt>
                <c:pt idx="433">
                  <c:v>0.10024449877750601</c:v>
                </c:pt>
                <c:pt idx="434">
                  <c:v>0.165562913907284</c:v>
                </c:pt>
                <c:pt idx="435">
                  <c:v>0.138211382113821</c:v>
                </c:pt>
                <c:pt idx="436">
                  <c:v>7.0422535211267595E-2</c:v>
                </c:pt>
                <c:pt idx="437">
                  <c:v>0.12041884816753901</c:v>
                </c:pt>
                <c:pt idx="438">
                  <c:v>-5.0359712230215799E-2</c:v>
                </c:pt>
                <c:pt idx="439">
                  <c:v>0.13080168776371301</c:v>
                </c:pt>
                <c:pt idx="440">
                  <c:v>9.5541401273885301E-2</c:v>
                </c:pt>
                <c:pt idx="441">
                  <c:v>9.5541401273885301E-2</c:v>
                </c:pt>
                <c:pt idx="442">
                  <c:v>0.16062176165803099</c:v>
                </c:pt>
                <c:pt idx="443">
                  <c:v>0.123867069486404</c:v>
                </c:pt>
                <c:pt idx="444">
                  <c:v>7.7464788732394305E-2</c:v>
                </c:pt>
                <c:pt idx="445">
                  <c:v>0.12935323383084499</c:v>
                </c:pt>
                <c:pt idx="446">
                  <c:v>0.10485933503836301</c:v>
                </c:pt>
                <c:pt idx="447">
                  <c:v>0.102702702702702</c:v>
                </c:pt>
                <c:pt idx="448">
                  <c:v>0.12918660287081299</c:v>
                </c:pt>
                <c:pt idx="449">
                  <c:v>0.17382413087934501</c:v>
                </c:pt>
                <c:pt idx="450">
                  <c:v>0.225806451612903</c:v>
                </c:pt>
                <c:pt idx="451">
                  <c:v>0.17086834733893499</c:v>
                </c:pt>
                <c:pt idx="452">
                  <c:v>0.126550868486352</c:v>
                </c:pt>
                <c:pt idx="453">
                  <c:v>0.124060150375939</c:v>
                </c:pt>
                <c:pt idx="454">
                  <c:v>0.124060150375939</c:v>
                </c:pt>
                <c:pt idx="455">
                  <c:v>1.9753086419752999E-2</c:v>
                </c:pt>
                <c:pt idx="456">
                  <c:v>1.9753086419752999E-2</c:v>
                </c:pt>
                <c:pt idx="457">
                  <c:v>1.9753086419752999E-2</c:v>
                </c:pt>
                <c:pt idx="458">
                  <c:v>7.8189300411522597E-2</c:v>
                </c:pt>
                <c:pt idx="459">
                  <c:v>6.9930069930069904E-3</c:v>
                </c:pt>
                <c:pt idx="460">
                  <c:v>0.126436781609195</c:v>
                </c:pt>
                <c:pt idx="461">
                  <c:v>7.0539419087136901E-2</c:v>
                </c:pt>
                <c:pt idx="462">
                  <c:v>0.182608695652173</c:v>
                </c:pt>
                <c:pt idx="463">
                  <c:v>0.13004484304932701</c:v>
                </c:pt>
                <c:pt idx="464">
                  <c:v>0.16666666666666599</c:v>
                </c:pt>
                <c:pt idx="465">
                  <c:v>8.3333333333333301E-2</c:v>
                </c:pt>
                <c:pt idx="466">
                  <c:v>0.16256157635467899</c:v>
                </c:pt>
                <c:pt idx="467">
                  <c:v>4.2145593869731802E-2</c:v>
                </c:pt>
                <c:pt idx="468">
                  <c:v>9.6885813148788899E-2</c:v>
                </c:pt>
                <c:pt idx="469">
                  <c:v>0.166253101736972</c:v>
                </c:pt>
                <c:pt idx="470">
                  <c:v>0.15217391304347799</c:v>
                </c:pt>
                <c:pt idx="471">
                  <c:v>0.155963302752293</c:v>
                </c:pt>
                <c:pt idx="472">
                  <c:v>0.14606741573033699</c:v>
                </c:pt>
                <c:pt idx="473">
                  <c:v>0.124463519313304</c:v>
                </c:pt>
                <c:pt idx="474">
                  <c:v>0.107344632768361</c:v>
                </c:pt>
                <c:pt idx="475">
                  <c:v>0.183673469387755</c:v>
                </c:pt>
                <c:pt idx="476">
                  <c:v>0.102608695652173</c:v>
                </c:pt>
                <c:pt idx="477">
                  <c:v>0.04</c:v>
                </c:pt>
                <c:pt idx="478">
                  <c:v>0.16384180790960401</c:v>
                </c:pt>
                <c:pt idx="479">
                  <c:v>9.5189355168884299E-2</c:v>
                </c:pt>
                <c:pt idx="480">
                  <c:v>0.123893805309734</c:v>
                </c:pt>
                <c:pt idx="481">
                  <c:v>0.27868852459016302</c:v>
                </c:pt>
                <c:pt idx="482">
                  <c:v>7.5630252100840303E-2</c:v>
                </c:pt>
                <c:pt idx="483">
                  <c:v>9.6296296296296297E-2</c:v>
                </c:pt>
                <c:pt idx="484">
                  <c:v>0.24242424242424199</c:v>
                </c:pt>
                <c:pt idx="485">
                  <c:v>0.13294797687861201</c:v>
                </c:pt>
                <c:pt idx="486">
                  <c:v>0.155698234349919</c:v>
                </c:pt>
                <c:pt idx="487">
                  <c:v>0.12554112554112501</c:v>
                </c:pt>
                <c:pt idx="488">
                  <c:v>0.16666666666666599</c:v>
                </c:pt>
                <c:pt idx="489">
                  <c:v>4.8387096774193498E-2</c:v>
                </c:pt>
                <c:pt idx="490">
                  <c:v>9.6952908587257594E-2</c:v>
                </c:pt>
                <c:pt idx="491">
                  <c:v>0.13380281690140799</c:v>
                </c:pt>
                <c:pt idx="492">
                  <c:v>0.124324324324324</c:v>
                </c:pt>
                <c:pt idx="493">
                  <c:v>0.13807531380753099</c:v>
                </c:pt>
                <c:pt idx="494">
                  <c:v>7.7419354838709598E-2</c:v>
                </c:pt>
                <c:pt idx="495">
                  <c:v>2.81124497991967E-2</c:v>
                </c:pt>
                <c:pt idx="496">
                  <c:v>9.75056689342403E-2</c:v>
                </c:pt>
                <c:pt idx="497">
                  <c:v>0.12463768115942001</c:v>
                </c:pt>
                <c:pt idx="498">
                  <c:v>0.14808652246256199</c:v>
                </c:pt>
                <c:pt idx="499">
                  <c:v>0.106463878326996</c:v>
                </c:pt>
                <c:pt idx="500">
                  <c:v>0.140151515151515</c:v>
                </c:pt>
                <c:pt idx="501">
                  <c:v>0.08</c:v>
                </c:pt>
                <c:pt idx="502">
                  <c:v>0.125373134328358</c:v>
                </c:pt>
                <c:pt idx="503">
                  <c:v>0.125373134328358</c:v>
                </c:pt>
                <c:pt idx="504">
                  <c:v>0.13596491228070101</c:v>
                </c:pt>
                <c:pt idx="505">
                  <c:v>4.5871559633027498E-2</c:v>
                </c:pt>
                <c:pt idx="506">
                  <c:v>9.6000000000000002E-2</c:v>
                </c:pt>
                <c:pt idx="507">
                  <c:v>0.109947643979057</c:v>
                </c:pt>
                <c:pt idx="508">
                  <c:v>0.11943793911007</c:v>
                </c:pt>
                <c:pt idx="509">
                  <c:v>1.1406844106463801E-2</c:v>
                </c:pt>
                <c:pt idx="510">
                  <c:v>0.10497237569060699</c:v>
                </c:pt>
                <c:pt idx="511">
                  <c:v>0.17318435754189901</c:v>
                </c:pt>
                <c:pt idx="512">
                  <c:v>1.7094017094016999E-2</c:v>
                </c:pt>
                <c:pt idx="513">
                  <c:v>0.18</c:v>
                </c:pt>
                <c:pt idx="514">
                  <c:v>0.128099173553719</c:v>
                </c:pt>
                <c:pt idx="515">
                  <c:v>8.0779944289693595E-2</c:v>
                </c:pt>
                <c:pt idx="516">
                  <c:v>0</c:v>
                </c:pt>
                <c:pt idx="517">
                  <c:v>3.2608695652173898E-2</c:v>
                </c:pt>
                <c:pt idx="518">
                  <c:v>7.5892857142857095E-2</c:v>
                </c:pt>
                <c:pt idx="519">
                  <c:v>0.14150943396226401</c:v>
                </c:pt>
                <c:pt idx="520">
                  <c:v>0.1875</c:v>
                </c:pt>
                <c:pt idx="521">
                  <c:v>0.16049382716049301</c:v>
                </c:pt>
                <c:pt idx="522">
                  <c:v>0.201465201465201</c:v>
                </c:pt>
                <c:pt idx="523">
                  <c:v>0.18688524590163899</c:v>
                </c:pt>
                <c:pt idx="524">
                  <c:v>0.117924528301886</c:v>
                </c:pt>
                <c:pt idx="525">
                  <c:v>6.5719360568383595E-2</c:v>
                </c:pt>
                <c:pt idx="526">
                  <c:v>3.2755298651252401E-2</c:v>
                </c:pt>
                <c:pt idx="527">
                  <c:v>0.18264840182648401</c:v>
                </c:pt>
                <c:pt idx="528">
                  <c:v>0.103139013452914</c:v>
                </c:pt>
                <c:pt idx="529">
                  <c:v>0.138381201044386</c:v>
                </c:pt>
                <c:pt idx="530">
                  <c:v>4.4917257683215098E-2</c:v>
                </c:pt>
                <c:pt idx="531">
                  <c:v>1.54798761609907E-2</c:v>
                </c:pt>
                <c:pt idx="532">
                  <c:v>0.13407821229050201</c:v>
                </c:pt>
                <c:pt idx="533">
                  <c:v>0.13407821229050201</c:v>
                </c:pt>
                <c:pt idx="534">
                  <c:v>0.13407821229050201</c:v>
                </c:pt>
                <c:pt idx="535">
                  <c:v>0.13407821229050201</c:v>
                </c:pt>
                <c:pt idx="536">
                  <c:v>7.4074074074074001E-2</c:v>
                </c:pt>
                <c:pt idx="537">
                  <c:v>6.6666666666666596E-2</c:v>
                </c:pt>
                <c:pt idx="538">
                  <c:v>3.1775700934579397E-2</c:v>
                </c:pt>
                <c:pt idx="539">
                  <c:v>9.8214285714285698E-2</c:v>
                </c:pt>
                <c:pt idx="540">
                  <c:v>8.0808080808080801E-2</c:v>
                </c:pt>
                <c:pt idx="541">
                  <c:v>-5.2208835341365403E-2</c:v>
                </c:pt>
                <c:pt idx="542">
                  <c:v>3.8793103448275801E-2</c:v>
                </c:pt>
                <c:pt idx="543">
                  <c:v>5.7377049180327801E-2</c:v>
                </c:pt>
                <c:pt idx="544">
                  <c:v>8.3798882681564199E-2</c:v>
                </c:pt>
                <c:pt idx="545">
                  <c:v>4.1958041958041897E-2</c:v>
                </c:pt>
                <c:pt idx="546">
                  <c:v>5.23560209424083E-2</c:v>
                </c:pt>
                <c:pt idx="547">
                  <c:v>0.138461538461538</c:v>
                </c:pt>
                <c:pt idx="548">
                  <c:v>9.2198581560283599E-2</c:v>
                </c:pt>
                <c:pt idx="549">
                  <c:v>0.130136986301369</c:v>
                </c:pt>
                <c:pt idx="550">
                  <c:v>0.157894736842105</c:v>
                </c:pt>
                <c:pt idx="551">
                  <c:v>0.19721577726218001</c:v>
                </c:pt>
                <c:pt idx="552">
                  <c:v>2.11640211640211E-2</c:v>
                </c:pt>
                <c:pt idx="553">
                  <c:v>0.20895522388059701</c:v>
                </c:pt>
                <c:pt idx="554">
                  <c:v>9.1066782307025099E-2</c:v>
                </c:pt>
                <c:pt idx="555">
                  <c:v>0.19047619047618999</c:v>
                </c:pt>
                <c:pt idx="556">
                  <c:v>5.4545454545454501E-2</c:v>
                </c:pt>
                <c:pt idx="557">
                  <c:v>8.3932853717026301E-2</c:v>
                </c:pt>
                <c:pt idx="558">
                  <c:v>5.6057866184448399E-2</c:v>
                </c:pt>
                <c:pt idx="559">
                  <c:v>0.17171717171717099</c:v>
                </c:pt>
                <c:pt idx="560">
                  <c:v>0.154471544715447</c:v>
                </c:pt>
                <c:pt idx="561">
                  <c:v>0.190243902439024</c:v>
                </c:pt>
                <c:pt idx="562">
                  <c:v>1.9607843137254902E-2</c:v>
                </c:pt>
                <c:pt idx="563">
                  <c:v>0.13142857142857101</c:v>
                </c:pt>
                <c:pt idx="564">
                  <c:v>0.116504854368932</c:v>
                </c:pt>
                <c:pt idx="565">
                  <c:v>5.7692307692307598E-2</c:v>
                </c:pt>
                <c:pt idx="566">
                  <c:v>9.0439276485788103E-2</c:v>
                </c:pt>
                <c:pt idx="567">
                  <c:v>0.114754098360655</c:v>
                </c:pt>
                <c:pt idx="568">
                  <c:v>0.11111111111111099</c:v>
                </c:pt>
                <c:pt idx="569">
                  <c:v>8.0906148867313898E-2</c:v>
                </c:pt>
                <c:pt idx="570">
                  <c:v>4.40677966101694E-2</c:v>
                </c:pt>
                <c:pt idx="571">
                  <c:v>8.9743589743589702E-2</c:v>
                </c:pt>
                <c:pt idx="572">
                  <c:v>9.6188747731397406E-2</c:v>
                </c:pt>
                <c:pt idx="573">
                  <c:v>0.16279069767441801</c:v>
                </c:pt>
                <c:pt idx="574">
                  <c:v>0.109243697478991</c:v>
                </c:pt>
                <c:pt idx="575">
                  <c:v>6.0465116279069697E-2</c:v>
                </c:pt>
                <c:pt idx="576">
                  <c:v>5.9701492537313397E-2</c:v>
                </c:pt>
                <c:pt idx="577">
                  <c:v>0.13173652694610699</c:v>
                </c:pt>
                <c:pt idx="578">
                  <c:v>0.122362869198312</c:v>
                </c:pt>
                <c:pt idx="579">
                  <c:v>-3.7735849056603703E-2</c:v>
                </c:pt>
                <c:pt idx="580">
                  <c:v>0.17647058823529399</c:v>
                </c:pt>
                <c:pt idx="581">
                  <c:v>0.221052631578947</c:v>
                </c:pt>
                <c:pt idx="582">
                  <c:v>9.9236641221374003E-2</c:v>
                </c:pt>
                <c:pt idx="583">
                  <c:v>0</c:v>
                </c:pt>
                <c:pt idx="584">
                  <c:v>0.15044247787610601</c:v>
                </c:pt>
                <c:pt idx="585">
                  <c:v>0.10683012259194299</c:v>
                </c:pt>
                <c:pt idx="586">
                  <c:v>0.134615384615384</c:v>
                </c:pt>
                <c:pt idx="587">
                  <c:v>0.205673758865248</c:v>
                </c:pt>
                <c:pt idx="588">
                  <c:v>8.5714285714285701E-2</c:v>
                </c:pt>
                <c:pt idx="589">
                  <c:v>2.14797136038186E-2</c:v>
                </c:pt>
                <c:pt idx="590">
                  <c:v>0.110576923076923</c:v>
                </c:pt>
                <c:pt idx="591">
                  <c:v>0.13868613138686101</c:v>
                </c:pt>
                <c:pt idx="592">
                  <c:v>8.4832904884318702E-2</c:v>
                </c:pt>
                <c:pt idx="593">
                  <c:v>5.5045871559633003E-2</c:v>
                </c:pt>
                <c:pt idx="594">
                  <c:v>3.5714285714285698E-2</c:v>
                </c:pt>
                <c:pt idx="595">
                  <c:v>0.15183246073298401</c:v>
                </c:pt>
                <c:pt idx="596">
                  <c:v>7.3253833049403694E-2</c:v>
                </c:pt>
                <c:pt idx="597">
                  <c:v>3.6303630363036299E-2</c:v>
                </c:pt>
                <c:pt idx="598">
                  <c:v>7.5630252100840303E-2</c:v>
                </c:pt>
                <c:pt idx="599">
                  <c:v>2.16718266253869E-2</c:v>
                </c:pt>
                <c:pt idx="600">
                  <c:v>0.136563876651982</c:v>
                </c:pt>
                <c:pt idx="601">
                  <c:v>-2.8169014084507001E-2</c:v>
                </c:pt>
                <c:pt idx="602">
                  <c:v>0.144508670520231</c:v>
                </c:pt>
                <c:pt idx="603">
                  <c:v>0.11111111111111099</c:v>
                </c:pt>
                <c:pt idx="604">
                  <c:v>0.14049586776859499</c:v>
                </c:pt>
                <c:pt idx="605">
                  <c:v>0.126550868486352</c:v>
                </c:pt>
                <c:pt idx="606">
                  <c:v>7.25075528700906E-2</c:v>
                </c:pt>
                <c:pt idx="607">
                  <c:v>4.6153846153846101E-2</c:v>
                </c:pt>
                <c:pt idx="608">
                  <c:v>0.13450292397660801</c:v>
                </c:pt>
                <c:pt idx="609">
                  <c:v>0.26315789473684198</c:v>
                </c:pt>
                <c:pt idx="610">
                  <c:v>0.152</c:v>
                </c:pt>
                <c:pt idx="611">
                  <c:v>0.122340425531914</c:v>
                </c:pt>
                <c:pt idx="612">
                  <c:v>5.16431924882629E-2</c:v>
                </c:pt>
                <c:pt idx="613">
                  <c:v>0.11870503597122301</c:v>
                </c:pt>
                <c:pt idx="614">
                  <c:v>0.162650602409638</c:v>
                </c:pt>
                <c:pt idx="615">
                  <c:v>0.11111111111111099</c:v>
                </c:pt>
                <c:pt idx="616">
                  <c:v>0.14893617021276501</c:v>
                </c:pt>
                <c:pt idx="617">
                  <c:v>-8.4889643463497404E-3</c:v>
                </c:pt>
                <c:pt idx="618">
                  <c:v>1.54277699859747E-2</c:v>
                </c:pt>
                <c:pt idx="619">
                  <c:v>6.0439560439560398E-2</c:v>
                </c:pt>
                <c:pt idx="620">
                  <c:v>8.3333333333333301E-2</c:v>
                </c:pt>
                <c:pt idx="621">
                  <c:v>-1.13895216400911E-2</c:v>
                </c:pt>
                <c:pt idx="622">
                  <c:v>0.134328358208955</c:v>
                </c:pt>
                <c:pt idx="623">
                  <c:v>-6.4935064935064896E-3</c:v>
                </c:pt>
                <c:pt idx="624">
                  <c:v>0.107692307692307</c:v>
                </c:pt>
                <c:pt idx="625">
                  <c:v>0.168421052631578</c:v>
                </c:pt>
                <c:pt idx="626">
                  <c:v>0.124378109452736</c:v>
                </c:pt>
                <c:pt idx="627">
                  <c:v>9.4170403587443899E-2</c:v>
                </c:pt>
                <c:pt idx="628">
                  <c:v>9.5477386934673295E-2</c:v>
                </c:pt>
                <c:pt idx="629">
                  <c:v>0.14285714285714199</c:v>
                </c:pt>
                <c:pt idx="630">
                  <c:v>8.4084084084083993E-2</c:v>
                </c:pt>
                <c:pt idx="631">
                  <c:v>0.14285714285714199</c:v>
                </c:pt>
                <c:pt idx="632">
                  <c:v>9.9476439790575896E-2</c:v>
                </c:pt>
                <c:pt idx="633">
                  <c:v>0.146757679180887</c:v>
                </c:pt>
                <c:pt idx="634">
                  <c:v>0.105308964316797</c:v>
                </c:pt>
                <c:pt idx="635">
                  <c:v>0.14754098360655701</c:v>
                </c:pt>
                <c:pt idx="636">
                  <c:v>0.14792899408283999</c:v>
                </c:pt>
                <c:pt idx="637">
                  <c:v>0.155555555555555</c:v>
                </c:pt>
                <c:pt idx="638">
                  <c:v>-6.0606060606060597E-3</c:v>
                </c:pt>
                <c:pt idx="639">
                  <c:v>-4.4444444444444398E-2</c:v>
                </c:pt>
                <c:pt idx="640">
                  <c:v>0.123287671232876</c:v>
                </c:pt>
                <c:pt idx="641">
                  <c:v>0.207243460764587</c:v>
                </c:pt>
                <c:pt idx="642">
                  <c:v>9.375E-2</c:v>
                </c:pt>
                <c:pt idx="643">
                  <c:v>6.1452513966480403E-2</c:v>
                </c:pt>
                <c:pt idx="644">
                  <c:v>7.6620825147347693E-2</c:v>
                </c:pt>
                <c:pt idx="645">
                  <c:v>3.3033033033033003E-2</c:v>
                </c:pt>
                <c:pt idx="646">
                  <c:v>-6.13496932515337E-2</c:v>
                </c:pt>
                <c:pt idx="647">
                  <c:v>7.9754601226993793E-2</c:v>
                </c:pt>
                <c:pt idx="648">
                  <c:v>-1.0526315789473601E-2</c:v>
                </c:pt>
                <c:pt idx="649">
                  <c:v>0.11062906724511901</c:v>
                </c:pt>
                <c:pt idx="650">
                  <c:v>0.25</c:v>
                </c:pt>
                <c:pt idx="651">
                  <c:v>0.144414168937329</c:v>
                </c:pt>
                <c:pt idx="652">
                  <c:v>0.111853088480801</c:v>
                </c:pt>
                <c:pt idx="653">
                  <c:v>0.104477611940298</c:v>
                </c:pt>
                <c:pt idx="654">
                  <c:v>0.104761904761904</c:v>
                </c:pt>
                <c:pt idx="655">
                  <c:v>8.1723625557206497E-2</c:v>
                </c:pt>
                <c:pt idx="656">
                  <c:v>8.4832904884318702E-2</c:v>
                </c:pt>
                <c:pt idx="657">
                  <c:v>1.0869565217391301E-2</c:v>
                </c:pt>
                <c:pt idx="658">
                  <c:v>8.8607594936708806E-2</c:v>
                </c:pt>
                <c:pt idx="659">
                  <c:v>0.146788990825688</c:v>
                </c:pt>
                <c:pt idx="660">
                  <c:v>5.9936908517350097E-2</c:v>
                </c:pt>
                <c:pt idx="661">
                  <c:v>0.12582781456953601</c:v>
                </c:pt>
                <c:pt idx="662">
                  <c:v>3.6777583187390502E-2</c:v>
                </c:pt>
                <c:pt idx="663">
                  <c:v>6.3414634146341395E-2</c:v>
                </c:pt>
                <c:pt idx="664">
                  <c:v>0.12676056338028099</c:v>
                </c:pt>
                <c:pt idx="665">
                  <c:v>3.6241610738254999E-2</c:v>
                </c:pt>
                <c:pt idx="666">
                  <c:v>2.3411371237458099E-2</c:v>
                </c:pt>
                <c:pt idx="667">
                  <c:v>0.13457556935817799</c:v>
                </c:pt>
                <c:pt idx="668">
                  <c:v>0.134466769706336</c:v>
                </c:pt>
                <c:pt idx="669">
                  <c:v>1.7064846416382201E-2</c:v>
                </c:pt>
                <c:pt idx="670">
                  <c:v>3.4482758620689599E-2</c:v>
                </c:pt>
                <c:pt idx="671">
                  <c:v>7.6023391812865396E-2</c:v>
                </c:pt>
                <c:pt idx="672">
                  <c:v>0.22641509433962201</c:v>
                </c:pt>
                <c:pt idx="673">
                  <c:v>8.4468664850136196E-2</c:v>
                </c:pt>
                <c:pt idx="674">
                  <c:v>0.141463414634146</c:v>
                </c:pt>
                <c:pt idx="675">
                  <c:v>8.4142394822006403E-2</c:v>
                </c:pt>
                <c:pt idx="676">
                  <c:v>0.163265306122448</c:v>
                </c:pt>
                <c:pt idx="677">
                  <c:v>7.7625570776255703E-2</c:v>
                </c:pt>
                <c:pt idx="678">
                  <c:v>-4.4534412955465501E-2</c:v>
                </c:pt>
                <c:pt idx="679">
                  <c:v>-4.4534412955465501E-2</c:v>
                </c:pt>
                <c:pt idx="680">
                  <c:v>9.5238095238095205E-2</c:v>
                </c:pt>
                <c:pt idx="681">
                  <c:v>2.7989821882951599E-2</c:v>
                </c:pt>
                <c:pt idx="682">
                  <c:v>0.108033240997229</c:v>
                </c:pt>
                <c:pt idx="683">
                  <c:v>0.22077922077921999</c:v>
                </c:pt>
                <c:pt idx="684">
                  <c:v>-4.4444444444444398E-2</c:v>
                </c:pt>
                <c:pt idx="685">
                  <c:v>6.3670411985018702E-2</c:v>
                </c:pt>
                <c:pt idx="686">
                  <c:v>1.0625737898465101E-2</c:v>
                </c:pt>
                <c:pt idx="687">
                  <c:v>6.1728395061728301E-2</c:v>
                </c:pt>
                <c:pt idx="688">
                  <c:v>-4.4247787610619399E-2</c:v>
                </c:pt>
                <c:pt idx="689">
                  <c:v>0.13934426229508101</c:v>
                </c:pt>
                <c:pt idx="690">
                  <c:v>9.6629213483146001E-2</c:v>
                </c:pt>
                <c:pt idx="691">
                  <c:v>0.205298013245033</c:v>
                </c:pt>
                <c:pt idx="692">
                  <c:v>0.17142857142857101</c:v>
                </c:pt>
                <c:pt idx="693">
                  <c:v>0.219512195121951</c:v>
                </c:pt>
                <c:pt idx="694">
                  <c:v>9.6907216494845294E-2</c:v>
                </c:pt>
                <c:pt idx="695">
                  <c:v>9.1482649842271294E-2</c:v>
                </c:pt>
                <c:pt idx="696">
                  <c:v>7.3170731707316999E-2</c:v>
                </c:pt>
                <c:pt idx="697">
                  <c:v>4.4058744993324399E-2</c:v>
                </c:pt>
                <c:pt idx="698">
                  <c:v>0.114197530864197</c:v>
                </c:pt>
                <c:pt idx="699">
                  <c:v>0.105263157894736</c:v>
                </c:pt>
                <c:pt idx="700">
                  <c:v>6.17977528089887E-2</c:v>
                </c:pt>
                <c:pt idx="701">
                  <c:v>-6.4516129032258004E-3</c:v>
                </c:pt>
                <c:pt idx="702">
                  <c:v>8.4931506849314997E-2</c:v>
                </c:pt>
                <c:pt idx="703">
                  <c:v>0.17857142857142799</c:v>
                </c:pt>
                <c:pt idx="704">
                  <c:v>0.18421052631578899</c:v>
                </c:pt>
                <c:pt idx="705">
                  <c:v>2.1844660194174699E-2</c:v>
                </c:pt>
                <c:pt idx="706">
                  <c:v>2.1505376344085999E-2</c:v>
                </c:pt>
                <c:pt idx="707">
                  <c:v>5.9866962305986697E-2</c:v>
                </c:pt>
                <c:pt idx="708">
                  <c:v>0.21712538226299599</c:v>
                </c:pt>
                <c:pt idx="709">
                  <c:v>8.9743589743589702E-2</c:v>
                </c:pt>
                <c:pt idx="710">
                  <c:v>7.5630252100840303E-2</c:v>
                </c:pt>
                <c:pt idx="711">
                  <c:v>7.0866141732283394E-2</c:v>
                </c:pt>
                <c:pt idx="712">
                  <c:v>7.0663811563169102E-2</c:v>
                </c:pt>
                <c:pt idx="713">
                  <c:v>0.120967741935483</c:v>
                </c:pt>
                <c:pt idx="714">
                  <c:v>0.13483146067415699</c:v>
                </c:pt>
                <c:pt idx="715">
                  <c:v>-2.3041474654377801E-2</c:v>
                </c:pt>
                <c:pt idx="716">
                  <c:v>5.4054054054054002E-2</c:v>
                </c:pt>
                <c:pt idx="717">
                  <c:v>0.16</c:v>
                </c:pt>
                <c:pt idx="718">
                  <c:v>4.70219435736677E-2</c:v>
                </c:pt>
                <c:pt idx="719">
                  <c:v>0.101639344262295</c:v>
                </c:pt>
                <c:pt idx="720">
                  <c:v>8.7878787878787806E-2</c:v>
                </c:pt>
                <c:pt idx="721">
                  <c:v>0.18947368421052599</c:v>
                </c:pt>
                <c:pt idx="722">
                  <c:v>0.13190529875986401</c:v>
                </c:pt>
                <c:pt idx="723">
                  <c:v>0.11936339522546401</c:v>
                </c:pt>
                <c:pt idx="724">
                  <c:v>4.67289719626168E-2</c:v>
                </c:pt>
                <c:pt idx="725">
                  <c:v>9.4650205761316802E-2</c:v>
                </c:pt>
                <c:pt idx="726">
                  <c:v>8.0924855491329398E-2</c:v>
                </c:pt>
                <c:pt idx="727">
                  <c:v>9.6103896103896094E-2</c:v>
                </c:pt>
                <c:pt idx="728">
                  <c:v>0.11945392491467501</c:v>
                </c:pt>
                <c:pt idx="729">
                  <c:v>6.7738231917336397E-2</c:v>
                </c:pt>
                <c:pt idx="730">
                  <c:v>0.167721518987341</c:v>
                </c:pt>
                <c:pt idx="731">
                  <c:v>0.1125</c:v>
                </c:pt>
                <c:pt idx="732">
                  <c:v>0.14492753623188401</c:v>
                </c:pt>
              </c:numCache>
            </c:numRef>
          </c:xVal>
          <c:yVal>
            <c:numRef>
              <c:f>cd!$BJ$4:$BJ$736</c:f>
              <c:numCache>
                <c:formatCode>General</c:formatCode>
                <c:ptCount val="733"/>
                <c:pt idx="0">
                  <c:v>6.0099999999999997E-3</c:v>
                </c:pt>
                <c:pt idx="1">
                  <c:v>3.3700000000000001E-2</c:v>
                </c:pt>
                <c:pt idx="2">
                  <c:v>1.417E-2</c:v>
                </c:pt>
                <c:pt idx="3">
                  <c:v>1.478E-2</c:v>
                </c:pt>
                <c:pt idx="4">
                  <c:v>1.478E-2</c:v>
                </c:pt>
                <c:pt idx="5">
                  <c:v>5.9339999999999997E-2</c:v>
                </c:pt>
                <c:pt idx="6">
                  <c:v>9.9799999999999993E-3</c:v>
                </c:pt>
                <c:pt idx="7">
                  <c:v>0</c:v>
                </c:pt>
                <c:pt idx="8">
                  <c:v>4.5949999999999998E-2</c:v>
                </c:pt>
                <c:pt idx="9">
                  <c:v>1.9140000000000001E-2</c:v>
                </c:pt>
                <c:pt idx="10">
                  <c:v>3.032E-2</c:v>
                </c:pt>
                <c:pt idx="11">
                  <c:v>1.9390000000000001E-2</c:v>
                </c:pt>
                <c:pt idx="12">
                  <c:v>0</c:v>
                </c:pt>
                <c:pt idx="13">
                  <c:v>5.8310000000000001E-2</c:v>
                </c:pt>
                <c:pt idx="14">
                  <c:v>8.702E-2</c:v>
                </c:pt>
                <c:pt idx="15">
                  <c:v>0</c:v>
                </c:pt>
                <c:pt idx="16">
                  <c:v>3.807E-2</c:v>
                </c:pt>
                <c:pt idx="17">
                  <c:v>0</c:v>
                </c:pt>
                <c:pt idx="18">
                  <c:v>2.197E-2</c:v>
                </c:pt>
                <c:pt idx="19">
                  <c:v>8.1920000000000007E-2</c:v>
                </c:pt>
                <c:pt idx="20">
                  <c:v>3.542E-2</c:v>
                </c:pt>
                <c:pt idx="21">
                  <c:v>0</c:v>
                </c:pt>
                <c:pt idx="22">
                  <c:v>6.5559999999999993E-2</c:v>
                </c:pt>
                <c:pt idx="23">
                  <c:v>0.19470000000000001</c:v>
                </c:pt>
                <c:pt idx="24">
                  <c:v>0.25430999999999998</c:v>
                </c:pt>
                <c:pt idx="25">
                  <c:v>3.637E-2</c:v>
                </c:pt>
                <c:pt idx="26">
                  <c:v>2.0969999999999999E-2</c:v>
                </c:pt>
                <c:pt idx="27">
                  <c:v>0.12712000000000001</c:v>
                </c:pt>
                <c:pt idx="28">
                  <c:v>6.8210000000000007E-2</c:v>
                </c:pt>
                <c:pt idx="29">
                  <c:v>7.2500000000000004E-3</c:v>
                </c:pt>
                <c:pt idx="30">
                  <c:v>1.3089999999999999E-2</c:v>
                </c:pt>
                <c:pt idx="31">
                  <c:v>2.3599999999999999E-2</c:v>
                </c:pt>
                <c:pt idx="32">
                  <c:v>1.205E-2</c:v>
                </c:pt>
                <c:pt idx="33">
                  <c:v>5.9299999999999999E-2</c:v>
                </c:pt>
                <c:pt idx="34">
                  <c:v>2.9819999999999999E-2</c:v>
                </c:pt>
                <c:pt idx="35">
                  <c:v>8.0300000000000007E-3</c:v>
                </c:pt>
                <c:pt idx="36">
                  <c:v>3.8710000000000001E-2</c:v>
                </c:pt>
                <c:pt idx="37">
                  <c:v>3.4090000000000002E-2</c:v>
                </c:pt>
                <c:pt idx="38">
                  <c:v>2.546E-2</c:v>
                </c:pt>
                <c:pt idx="39">
                  <c:v>8.94E-3</c:v>
                </c:pt>
                <c:pt idx="40">
                  <c:v>1.18E-2</c:v>
                </c:pt>
                <c:pt idx="41">
                  <c:v>2.8379999999999999E-2</c:v>
                </c:pt>
                <c:pt idx="42">
                  <c:v>1.093E-2</c:v>
                </c:pt>
                <c:pt idx="43">
                  <c:v>1.6140000000000002E-2</c:v>
                </c:pt>
                <c:pt idx="44">
                  <c:v>9.4089999999999993E-2</c:v>
                </c:pt>
                <c:pt idx="45">
                  <c:v>1.7840000000000002E-2</c:v>
                </c:pt>
                <c:pt idx="46">
                  <c:v>2.5080000000000002E-2</c:v>
                </c:pt>
                <c:pt idx="47">
                  <c:v>9.0799999999999995E-3</c:v>
                </c:pt>
                <c:pt idx="48">
                  <c:v>0</c:v>
                </c:pt>
                <c:pt idx="49">
                  <c:v>0</c:v>
                </c:pt>
                <c:pt idx="50">
                  <c:v>3.6549999999999999E-2</c:v>
                </c:pt>
                <c:pt idx="51">
                  <c:v>0</c:v>
                </c:pt>
                <c:pt idx="52">
                  <c:v>7.46E-2</c:v>
                </c:pt>
                <c:pt idx="53">
                  <c:v>6.3200000000000001E-3</c:v>
                </c:pt>
                <c:pt idx="54">
                  <c:v>7.4099999999999999E-3</c:v>
                </c:pt>
                <c:pt idx="55">
                  <c:v>0</c:v>
                </c:pt>
                <c:pt idx="56">
                  <c:v>5.4480000000000001E-2</c:v>
                </c:pt>
                <c:pt idx="57">
                  <c:v>0</c:v>
                </c:pt>
                <c:pt idx="58">
                  <c:v>3.2960000000000003E-2</c:v>
                </c:pt>
                <c:pt idx="59">
                  <c:v>9.2310000000000003E-2</c:v>
                </c:pt>
                <c:pt idx="60">
                  <c:v>0.11325</c:v>
                </c:pt>
                <c:pt idx="61">
                  <c:v>2.929E-2</c:v>
                </c:pt>
                <c:pt idx="62">
                  <c:v>9.1819999999999999E-2</c:v>
                </c:pt>
                <c:pt idx="63">
                  <c:v>0</c:v>
                </c:pt>
                <c:pt idx="64">
                  <c:v>5.534E-2</c:v>
                </c:pt>
                <c:pt idx="65">
                  <c:v>6.6739999999999994E-2</c:v>
                </c:pt>
                <c:pt idx="66">
                  <c:v>6.028E-2</c:v>
                </c:pt>
                <c:pt idx="67">
                  <c:v>0</c:v>
                </c:pt>
                <c:pt idx="68">
                  <c:v>0</c:v>
                </c:pt>
                <c:pt idx="69">
                  <c:v>7.1609999999999993E-2</c:v>
                </c:pt>
                <c:pt idx="70">
                  <c:v>4.5100000000000001E-2</c:v>
                </c:pt>
                <c:pt idx="71">
                  <c:v>0</c:v>
                </c:pt>
                <c:pt idx="72">
                  <c:v>0</c:v>
                </c:pt>
                <c:pt idx="73">
                  <c:v>3.3590000000000002E-2</c:v>
                </c:pt>
                <c:pt idx="74">
                  <c:v>3.3590000000000002E-2</c:v>
                </c:pt>
                <c:pt idx="75">
                  <c:v>0.10604</c:v>
                </c:pt>
                <c:pt idx="76">
                  <c:v>8.838E-2</c:v>
                </c:pt>
                <c:pt idx="77">
                  <c:v>8.5610000000000006E-2</c:v>
                </c:pt>
                <c:pt idx="78">
                  <c:v>2.9680000000000002E-2</c:v>
                </c:pt>
                <c:pt idx="79">
                  <c:v>1.6879999999999999E-2</c:v>
                </c:pt>
                <c:pt idx="80">
                  <c:v>9.1920000000000002E-2</c:v>
                </c:pt>
                <c:pt idx="81">
                  <c:v>2.5400000000000002E-3</c:v>
                </c:pt>
                <c:pt idx="82">
                  <c:v>8.6800000000000002E-3</c:v>
                </c:pt>
                <c:pt idx="83">
                  <c:v>2.1729999999999999E-2</c:v>
                </c:pt>
                <c:pt idx="84">
                  <c:v>4.045E-2</c:v>
                </c:pt>
                <c:pt idx="85">
                  <c:v>7.8450000000000006E-2</c:v>
                </c:pt>
                <c:pt idx="86">
                  <c:v>8.5279999999999995E-2</c:v>
                </c:pt>
                <c:pt idx="87">
                  <c:v>0.10631</c:v>
                </c:pt>
                <c:pt idx="88">
                  <c:v>0.10631</c:v>
                </c:pt>
                <c:pt idx="89">
                  <c:v>4.1369999999999997E-2</c:v>
                </c:pt>
                <c:pt idx="90">
                  <c:v>6.1429999999999998E-2</c:v>
                </c:pt>
                <c:pt idx="91">
                  <c:v>0</c:v>
                </c:pt>
                <c:pt idx="92">
                  <c:v>0.16929</c:v>
                </c:pt>
                <c:pt idx="93">
                  <c:v>0.10920000000000001</c:v>
                </c:pt>
                <c:pt idx="94">
                  <c:v>1.976E-2</c:v>
                </c:pt>
                <c:pt idx="95">
                  <c:v>4.9639999999999997E-2</c:v>
                </c:pt>
                <c:pt idx="96">
                  <c:v>1.1379999999999999E-2</c:v>
                </c:pt>
                <c:pt idx="97">
                  <c:v>3.3020000000000001E-2</c:v>
                </c:pt>
                <c:pt idx="98">
                  <c:v>4.2360000000000002E-2</c:v>
                </c:pt>
                <c:pt idx="99">
                  <c:v>8.695E-2</c:v>
                </c:pt>
                <c:pt idx="100">
                  <c:v>1.9519999999999999E-2</c:v>
                </c:pt>
                <c:pt idx="101">
                  <c:v>8.4779999999999994E-2</c:v>
                </c:pt>
                <c:pt idx="102">
                  <c:v>0.24440999999999999</c:v>
                </c:pt>
                <c:pt idx="103">
                  <c:v>7.578E-2</c:v>
                </c:pt>
                <c:pt idx="104">
                  <c:v>4.5069999999999999E-2</c:v>
                </c:pt>
                <c:pt idx="105">
                  <c:v>4.6309999999999997E-2</c:v>
                </c:pt>
                <c:pt idx="106">
                  <c:v>4.0750000000000001E-2</c:v>
                </c:pt>
                <c:pt idx="107">
                  <c:v>5.2979999999999999E-2</c:v>
                </c:pt>
                <c:pt idx="108">
                  <c:v>8.1049999999999997E-2</c:v>
                </c:pt>
                <c:pt idx="109">
                  <c:v>4.1689999999999998E-2</c:v>
                </c:pt>
                <c:pt idx="110">
                  <c:v>2.349E-2</c:v>
                </c:pt>
                <c:pt idx="111">
                  <c:v>4.666E-2</c:v>
                </c:pt>
                <c:pt idx="112">
                  <c:v>1.9970000000000002E-2</c:v>
                </c:pt>
                <c:pt idx="113">
                  <c:v>3.8699999999999998E-2</c:v>
                </c:pt>
                <c:pt idx="114">
                  <c:v>3.9879999999999999E-2</c:v>
                </c:pt>
                <c:pt idx="115">
                  <c:v>2.1350000000000001E-2</c:v>
                </c:pt>
                <c:pt idx="116">
                  <c:v>2.0109999999999999E-2</c:v>
                </c:pt>
                <c:pt idx="117">
                  <c:v>2.7539999999999999E-2</c:v>
                </c:pt>
                <c:pt idx="118">
                  <c:v>5.1069999999999997E-2</c:v>
                </c:pt>
                <c:pt idx="119">
                  <c:v>6.019E-2</c:v>
                </c:pt>
                <c:pt idx="120">
                  <c:v>9.9629999999999996E-2</c:v>
                </c:pt>
                <c:pt idx="121">
                  <c:v>5.2940000000000001E-2</c:v>
                </c:pt>
                <c:pt idx="122">
                  <c:v>8.4909999999999999E-2</c:v>
                </c:pt>
                <c:pt idx="123">
                  <c:v>2.8410000000000001E-2</c:v>
                </c:pt>
                <c:pt idx="124">
                  <c:v>1.414E-2</c:v>
                </c:pt>
                <c:pt idx="125">
                  <c:v>3.1399999999999997E-2</c:v>
                </c:pt>
                <c:pt idx="126">
                  <c:v>2.001E-2</c:v>
                </c:pt>
                <c:pt idx="127">
                  <c:v>2.3449999999999999E-2</c:v>
                </c:pt>
                <c:pt idx="128">
                  <c:v>3.9989999999999998E-2</c:v>
                </c:pt>
                <c:pt idx="129">
                  <c:v>3.9989999999999998E-2</c:v>
                </c:pt>
                <c:pt idx="130">
                  <c:v>2.4309999999999998E-2</c:v>
                </c:pt>
                <c:pt idx="131">
                  <c:v>5.5030000000000003E-2</c:v>
                </c:pt>
                <c:pt idx="132">
                  <c:v>3.032E-2</c:v>
                </c:pt>
                <c:pt idx="133">
                  <c:v>6.6309999999999994E-2</c:v>
                </c:pt>
                <c:pt idx="134">
                  <c:v>0.13489999999999999</c:v>
                </c:pt>
                <c:pt idx="135">
                  <c:v>1.359E-2</c:v>
                </c:pt>
                <c:pt idx="136">
                  <c:v>1.359E-2</c:v>
                </c:pt>
                <c:pt idx="137">
                  <c:v>6.5129999999999993E-2</c:v>
                </c:pt>
                <c:pt idx="138">
                  <c:v>1.7510000000000001E-2</c:v>
                </c:pt>
                <c:pt idx="139">
                  <c:v>3.6749999999999998E-2</c:v>
                </c:pt>
                <c:pt idx="140">
                  <c:v>3.1539999999999999E-2</c:v>
                </c:pt>
                <c:pt idx="141">
                  <c:v>0.14030999999999999</c:v>
                </c:pt>
                <c:pt idx="142">
                  <c:v>0</c:v>
                </c:pt>
                <c:pt idx="143">
                  <c:v>0</c:v>
                </c:pt>
                <c:pt idx="144">
                  <c:v>1.189E-2</c:v>
                </c:pt>
                <c:pt idx="145">
                  <c:v>2.6099999999999999E-3</c:v>
                </c:pt>
                <c:pt idx="146">
                  <c:v>2.5760000000000002E-2</c:v>
                </c:pt>
                <c:pt idx="147">
                  <c:v>1.745E-2</c:v>
                </c:pt>
                <c:pt idx="148">
                  <c:v>4.9950000000000001E-2</c:v>
                </c:pt>
                <c:pt idx="149">
                  <c:v>4.641E-2</c:v>
                </c:pt>
                <c:pt idx="150">
                  <c:v>8.4860000000000005E-2</c:v>
                </c:pt>
                <c:pt idx="151">
                  <c:v>3.184E-2</c:v>
                </c:pt>
                <c:pt idx="152">
                  <c:v>1.004E-2</c:v>
                </c:pt>
                <c:pt idx="153">
                  <c:v>9.3810000000000004E-2</c:v>
                </c:pt>
                <c:pt idx="154">
                  <c:v>6.2390000000000001E-2</c:v>
                </c:pt>
                <c:pt idx="155">
                  <c:v>6.1129999999999997E-2</c:v>
                </c:pt>
                <c:pt idx="156">
                  <c:v>4.3580000000000001E-2</c:v>
                </c:pt>
                <c:pt idx="157">
                  <c:v>8.0099999999999998E-3</c:v>
                </c:pt>
                <c:pt idx="158">
                  <c:v>8.0099999999999998E-3</c:v>
                </c:pt>
                <c:pt idx="159">
                  <c:v>0</c:v>
                </c:pt>
                <c:pt idx="160">
                  <c:v>0.53502000000000005</c:v>
                </c:pt>
                <c:pt idx="161">
                  <c:v>8.5970000000000005E-2</c:v>
                </c:pt>
                <c:pt idx="162">
                  <c:v>0.10975</c:v>
                </c:pt>
                <c:pt idx="163">
                  <c:v>0</c:v>
                </c:pt>
                <c:pt idx="164">
                  <c:v>0</c:v>
                </c:pt>
                <c:pt idx="165">
                  <c:v>0.10141</c:v>
                </c:pt>
                <c:pt idx="166">
                  <c:v>0.10141</c:v>
                </c:pt>
                <c:pt idx="167">
                  <c:v>3.9419999999999997E-2</c:v>
                </c:pt>
                <c:pt idx="168">
                  <c:v>9.4199999999999996E-3</c:v>
                </c:pt>
                <c:pt idx="169">
                  <c:v>1.1990000000000001E-2</c:v>
                </c:pt>
                <c:pt idx="170">
                  <c:v>0.15705</c:v>
                </c:pt>
                <c:pt idx="171">
                  <c:v>0.37728</c:v>
                </c:pt>
                <c:pt idx="172">
                  <c:v>1.0580000000000001E-2</c:v>
                </c:pt>
                <c:pt idx="173">
                  <c:v>1.2319999999999999E-2</c:v>
                </c:pt>
                <c:pt idx="174">
                  <c:v>9.1840000000000005E-2</c:v>
                </c:pt>
                <c:pt idx="175">
                  <c:v>0.57764000000000004</c:v>
                </c:pt>
                <c:pt idx="176">
                  <c:v>1.205E-2</c:v>
                </c:pt>
                <c:pt idx="177">
                  <c:v>0.12157999999999999</c:v>
                </c:pt>
                <c:pt idx="178">
                  <c:v>0.23713000000000001</c:v>
                </c:pt>
                <c:pt idx="179">
                  <c:v>1.5509999999999999E-2</c:v>
                </c:pt>
                <c:pt idx="180">
                  <c:v>6.3039999999999999E-2</c:v>
                </c:pt>
                <c:pt idx="181">
                  <c:v>7.2900000000000006E-2</c:v>
                </c:pt>
                <c:pt idx="182">
                  <c:v>6.0290000000000003E-2</c:v>
                </c:pt>
                <c:pt idx="183">
                  <c:v>5.2249999999999998E-2</c:v>
                </c:pt>
                <c:pt idx="184">
                  <c:v>0.12003</c:v>
                </c:pt>
                <c:pt idx="185">
                  <c:v>5.6930000000000001E-2</c:v>
                </c:pt>
                <c:pt idx="186">
                  <c:v>0.11767</c:v>
                </c:pt>
                <c:pt idx="187">
                  <c:v>3.7159999999999999E-2</c:v>
                </c:pt>
                <c:pt idx="188">
                  <c:v>2.1260000000000001E-2</c:v>
                </c:pt>
                <c:pt idx="189">
                  <c:v>0</c:v>
                </c:pt>
                <c:pt idx="190">
                  <c:v>2.5780000000000001E-2</c:v>
                </c:pt>
                <c:pt idx="191">
                  <c:v>2.409E-2</c:v>
                </c:pt>
                <c:pt idx="192">
                  <c:v>1.9179999999999999E-2</c:v>
                </c:pt>
                <c:pt idx="193">
                  <c:v>1.5810000000000001E-2</c:v>
                </c:pt>
                <c:pt idx="194">
                  <c:v>2.3980000000000001E-2</c:v>
                </c:pt>
                <c:pt idx="195">
                  <c:v>1.883E-2</c:v>
                </c:pt>
                <c:pt idx="196">
                  <c:v>2.196E-2</c:v>
                </c:pt>
                <c:pt idx="197">
                  <c:v>5.6340000000000001E-2</c:v>
                </c:pt>
                <c:pt idx="198">
                  <c:v>0.11469</c:v>
                </c:pt>
                <c:pt idx="199">
                  <c:v>0.17311000000000001</c:v>
                </c:pt>
                <c:pt idx="200">
                  <c:v>1.413E-2</c:v>
                </c:pt>
                <c:pt idx="201">
                  <c:v>5.9500000000000004E-3</c:v>
                </c:pt>
                <c:pt idx="202">
                  <c:v>5.8560000000000001E-2</c:v>
                </c:pt>
                <c:pt idx="203">
                  <c:v>2.4039999999999999E-2</c:v>
                </c:pt>
                <c:pt idx="204">
                  <c:v>2.4039999999999999E-2</c:v>
                </c:pt>
                <c:pt idx="205">
                  <c:v>2.6530000000000001E-2</c:v>
                </c:pt>
                <c:pt idx="206">
                  <c:v>3.3020000000000001E-2</c:v>
                </c:pt>
                <c:pt idx="207">
                  <c:v>7.3649999999999993E-2</c:v>
                </c:pt>
                <c:pt idx="208">
                  <c:v>1.274E-2</c:v>
                </c:pt>
                <c:pt idx="209">
                  <c:v>6.2979999999999994E-2</c:v>
                </c:pt>
                <c:pt idx="210">
                  <c:v>6.4000000000000003E-3</c:v>
                </c:pt>
                <c:pt idx="211">
                  <c:v>5.0970000000000001E-2</c:v>
                </c:pt>
                <c:pt idx="212">
                  <c:v>3.9030000000000002E-2</c:v>
                </c:pt>
                <c:pt idx="213">
                  <c:v>2.044E-2</c:v>
                </c:pt>
                <c:pt idx="214">
                  <c:v>9.7970000000000002E-2</c:v>
                </c:pt>
                <c:pt idx="215">
                  <c:v>1.7139999999999999E-2</c:v>
                </c:pt>
                <c:pt idx="216">
                  <c:v>2.741E-2</c:v>
                </c:pt>
                <c:pt idx="217">
                  <c:v>0</c:v>
                </c:pt>
                <c:pt idx="218">
                  <c:v>2.333E-2</c:v>
                </c:pt>
                <c:pt idx="219">
                  <c:v>2.631E-2</c:v>
                </c:pt>
                <c:pt idx="220">
                  <c:v>0.21038000000000001</c:v>
                </c:pt>
                <c:pt idx="221">
                  <c:v>4.2599999999999999E-3</c:v>
                </c:pt>
                <c:pt idx="222">
                  <c:v>3.0589999999999999E-2</c:v>
                </c:pt>
                <c:pt idx="223">
                  <c:v>7.1300000000000001E-3</c:v>
                </c:pt>
                <c:pt idx="224">
                  <c:v>2.6880000000000001E-2</c:v>
                </c:pt>
                <c:pt idx="225">
                  <c:v>0</c:v>
                </c:pt>
                <c:pt idx="226">
                  <c:v>4.7169999999999997E-2</c:v>
                </c:pt>
                <c:pt idx="227">
                  <c:v>1.508E-2</c:v>
                </c:pt>
                <c:pt idx="228">
                  <c:v>5.6399999999999999E-2</c:v>
                </c:pt>
                <c:pt idx="229">
                  <c:v>7.5560000000000002E-2</c:v>
                </c:pt>
                <c:pt idx="230">
                  <c:v>5.9950000000000003E-2</c:v>
                </c:pt>
                <c:pt idx="231">
                  <c:v>5.135E-2</c:v>
                </c:pt>
                <c:pt idx="232">
                  <c:v>2.7720000000000002E-2</c:v>
                </c:pt>
                <c:pt idx="233">
                  <c:v>1.3979999999999999E-2</c:v>
                </c:pt>
                <c:pt idx="234">
                  <c:v>3.798E-2</c:v>
                </c:pt>
                <c:pt idx="235">
                  <c:v>0</c:v>
                </c:pt>
                <c:pt idx="236">
                  <c:v>1.128E-2</c:v>
                </c:pt>
                <c:pt idx="237">
                  <c:v>3.585E-2</c:v>
                </c:pt>
                <c:pt idx="238">
                  <c:v>2.1919999999999999E-2</c:v>
                </c:pt>
                <c:pt idx="239">
                  <c:v>3.7280000000000001E-2</c:v>
                </c:pt>
                <c:pt idx="240">
                  <c:v>4.5069999999999999E-2</c:v>
                </c:pt>
                <c:pt idx="241">
                  <c:v>1.1780000000000001E-2</c:v>
                </c:pt>
                <c:pt idx="242">
                  <c:v>4.0090000000000001E-2</c:v>
                </c:pt>
                <c:pt idx="243">
                  <c:v>7.356E-2</c:v>
                </c:pt>
                <c:pt idx="244">
                  <c:v>1.8149999999999999E-2</c:v>
                </c:pt>
                <c:pt idx="245">
                  <c:v>4.0629999999999999E-2</c:v>
                </c:pt>
                <c:pt idx="246">
                  <c:v>2.164E-2</c:v>
                </c:pt>
                <c:pt idx="247">
                  <c:v>0.11953999999999999</c:v>
                </c:pt>
                <c:pt idx="248">
                  <c:v>7.4130000000000001E-2</c:v>
                </c:pt>
                <c:pt idx="249">
                  <c:v>0</c:v>
                </c:pt>
                <c:pt idx="250">
                  <c:v>3.9570000000000001E-2</c:v>
                </c:pt>
                <c:pt idx="251">
                  <c:v>9.2259999999999995E-2</c:v>
                </c:pt>
                <c:pt idx="252">
                  <c:v>2.1329999999999998E-2</c:v>
                </c:pt>
                <c:pt idx="253">
                  <c:v>4.4929999999999998E-2</c:v>
                </c:pt>
                <c:pt idx="254">
                  <c:v>0.11971</c:v>
                </c:pt>
                <c:pt idx="255">
                  <c:v>8.8099999999999998E-2</c:v>
                </c:pt>
                <c:pt idx="256">
                  <c:v>0</c:v>
                </c:pt>
                <c:pt idx="257">
                  <c:v>5.9339999999999997E-2</c:v>
                </c:pt>
                <c:pt idx="258">
                  <c:v>2.4309999999999998E-2</c:v>
                </c:pt>
                <c:pt idx="259">
                  <c:v>6.8599999999999998E-3</c:v>
                </c:pt>
                <c:pt idx="260">
                  <c:v>7.0849999999999996E-2</c:v>
                </c:pt>
                <c:pt idx="261">
                  <c:v>9.9500000000000005E-3</c:v>
                </c:pt>
                <c:pt idx="262">
                  <c:v>2.3460000000000002E-2</c:v>
                </c:pt>
                <c:pt idx="263">
                  <c:v>4.4970000000000003E-2</c:v>
                </c:pt>
                <c:pt idx="264">
                  <c:v>5.2859999999999997E-2</c:v>
                </c:pt>
                <c:pt idx="265">
                  <c:v>1.6039999999999999E-2</c:v>
                </c:pt>
                <c:pt idx="266">
                  <c:v>1.03E-2</c:v>
                </c:pt>
                <c:pt idx="267">
                  <c:v>3.0939999999999999E-2</c:v>
                </c:pt>
                <c:pt idx="268">
                  <c:v>0.15315000000000001</c:v>
                </c:pt>
                <c:pt idx="269">
                  <c:v>0.23346</c:v>
                </c:pt>
                <c:pt idx="270">
                  <c:v>5.629E-2</c:v>
                </c:pt>
                <c:pt idx="271">
                  <c:v>1.52E-2</c:v>
                </c:pt>
                <c:pt idx="272">
                  <c:v>5.9339999999999997E-2</c:v>
                </c:pt>
                <c:pt idx="273">
                  <c:v>0</c:v>
                </c:pt>
                <c:pt idx="274">
                  <c:v>2.2530000000000001E-2</c:v>
                </c:pt>
                <c:pt idx="275">
                  <c:v>3.074E-2</c:v>
                </c:pt>
                <c:pt idx="276">
                  <c:v>0.10544000000000001</c:v>
                </c:pt>
                <c:pt idx="277">
                  <c:v>1.0319999999999999E-2</c:v>
                </c:pt>
                <c:pt idx="278">
                  <c:v>7.6600000000000001E-2</c:v>
                </c:pt>
                <c:pt idx="279">
                  <c:v>0.10463</c:v>
                </c:pt>
                <c:pt idx="280">
                  <c:v>2.4080000000000001E-2</c:v>
                </c:pt>
                <c:pt idx="281">
                  <c:v>0</c:v>
                </c:pt>
                <c:pt idx="282">
                  <c:v>3.5650000000000001E-2</c:v>
                </c:pt>
                <c:pt idx="283">
                  <c:v>0.10645</c:v>
                </c:pt>
                <c:pt idx="284">
                  <c:v>4.7719999999999999E-2</c:v>
                </c:pt>
                <c:pt idx="285">
                  <c:v>5.7750000000000003E-2</c:v>
                </c:pt>
                <c:pt idx="286">
                  <c:v>2.6710000000000001E-2</c:v>
                </c:pt>
                <c:pt idx="287">
                  <c:v>1.6539999999999999E-2</c:v>
                </c:pt>
                <c:pt idx="288">
                  <c:v>4.1860000000000001E-2</c:v>
                </c:pt>
                <c:pt idx="289">
                  <c:v>1.721E-2</c:v>
                </c:pt>
                <c:pt idx="290">
                  <c:v>6.1240000000000003E-2</c:v>
                </c:pt>
                <c:pt idx="291">
                  <c:v>1.4160000000000001E-2</c:v>
                </c:pt>
                <c:pt idx="292">
                  <c:v>0</c:v>
                </c:pt>
                <c:pt idx="293">
                  <c:v>8.6529999999999996E-2</c:v>
                </c:pt>
                <c:pt idx="294">
                  <c:v>3.8309999999999997E-2</c:v>
                </c:pt>
                <c:pt idx="295">
                  <c:v>5.4400000000000004E-3</c:v>
                </c:pt>
                <c:pt idx="296">
                  <c:v>5.8779999999999999E-2</c:v>
                </c:pt>
                <c:pt idx="297">
                  <c:v>7.1999999999999998E-3</c:v>
                </c:pt>
                <c:pt idx="298">
                  <c:v>1.644E-2</c:v>
                </c:pt>
                <c:pt idx="299">
                  <c:v>0</c:v>
                </c:pt>
                <c:pt idx="300">
                  <c:v>0.13814000000000001</c:v>
                </c:pt>
                <c:pt idx="301">
                  <c:v>2.7709999999999999E-2</c:v>
                </c:pt>
                <c:pt idx="302">
                  <c:v>5.1599999999999997E-3</c:v>
                </c:pt>
                <c:pt idx="303">
                  <c:v>2.6710000000000001E-2</c:v>
                </c:pt>
                <c:pt idx="304">
                  <c:v>0.19772999999999999</c:v>
                </c:pt>
                <c:pt idx="305">
                  <c:v>0</c:v>
                </c:pt>
                <c:pt idx="306">
                  <c:v>0.12486999999999999</c:v>
                </c:pt>
                <c:pt idx="307">
                  <c:v>4.1770000000000002E-2</c:v>
                </c:pt>
                <c:pt idx="308">
                  <c:v>7.4200000000000002E-2</c:v>
                </c:pt>
                <c:pt idx="309">
                  <c:v>1.865E-2</c:v>
                </c:pt>
                <c:pt idx="310">
                  <c:v>3.354E-2</c:v>
                </c:pt>
                <c:pt idx="311">
                  <c:v>3.354E-2</c:v>
                </c:pt>
                <c:pt idx="312">
                  <c:v>8.9499999999999996E-3</c:v>
                </c:pt>
                <c:pt idx="313">
                  <c:v>0</c:v>
                </c:pt>
                <c:pt idx="314">
                  <c:v>5.3699999999999998E-2</c:v>
                </c:pt>
                <c:pt idx="315">
                  <c:v>0</c:v>
                </c:pt>
                <c:pt idx="316">
                  <c:v>5.3780000000000001E-2</c:v>
                </c:pt>
                <c:pt idx="317">
                  <c:v>6.6970000000000002E-2</c:v>
                </c:pt>
                <c:pt idx="318">
                  <c:v>7.671E-2</c:v>
                </c:pt>
                <c:pt idx="319">
                  <c:v>3.4380000000000001E-2</c:v>
                </c:pt>
                <c:pt idx="320">
                  <c:v>5.9299999999999999E-2</c:v>
                </c:pt>
                <c:pt idx="321">
                  <c:v>0.18285000000000001</c:v>
                </c:pt>
                <c:pt idx="322">
                  <c:v>1.9359999999999999E-2</c:v>
                </c:pt>
                <c:pt idx="323">
                  <c:v>4.3740000000000001E-2</c:v>
                </c:pt>
                <c:pt idx="324">
                  <c:v>5.4010000000000002E-2</c:v>
                </c:pt>
                <c:pt idx="325">
                  <c:v>3.449E-2</c:v>
                </c:pt>
                <c:pt idx="326">
                  <c:v>2.6339999999999999E-2</c:v>
                </c:pt>
                <c:pt idx="327">
                  <c:v>4.1169999999999998E-2</c:v>
                </c:pt>
                <c:pt idx="328">
                  <c:v>5.5169999999999997E-2</c:v>
                </c:pt>
                <c:pt idx="329">
                  <c:v>1.9650000000000001E-2</c:v>
                </c:pt>
                <c:pt idx="330">
                  <c:v>2.12E-2</c:v>
                </c:pt>
                <c:pt idx="331">
                  <c:v>3.6200000000000003E-2</c:v>
                </c:pt>
                <c:pt idx="332">
                  <c:v>2.2939999999999999E-2</c:v>
                </c:pt>
                <c:pt idx="333">
                  <c:v>5.4370000000000002E-2</c:v>
                </c:pt>
                <c:pt idx="334">
                  <c:v>3.2899999999999999E-2</c:v>
                </c:pt>
                <c:pt idx="335">
                  <c:v>0</c:v>
                </c:pt>
                <c:pt idx="336">
                  <c:v>0</c:v>
                </c:pt>
                <c:pt idx="337">
                  <c:v>1.601E-2</c:v>
                </c:pt>
                <c:pt idx="338">
                  <c:v>0</c:v>
                </c:pt>
                <c:pt idx="339">
                  <c:v>0.10881</c:v>
                </c:pt>
                <c:pt idx="340">
                  <c:v>0.12099</c:v>
                </c:pt>
                <c:pt idx="341">
                  <c:v>2.0820000000000002E-2</c:v>
                </c:pt>
                <c:pt idx="342">
                  <c:v>1.2160000000000001E-2</c:v>
                </c:pt>
                <c:pt idx="343">
                  <c:v>1.2160000000000001E-2</c:v>
                </c:pt>
                <c:pt idx="344">
                  <c:v>1.2160000000000001E-2</c:v>
                </c:pt>
                <c:pt idx="345">
                  <c:v>1.183E-2</c:v>
                </c:pt>
                <c:pt idx="346">
                  <c:v>2.1760000000000002E-2</c:v>
                </c:pt>
                <c:pt idx="347">
                  <c:v>7.0349999999999996E-2</c:v>
                </c:pt>
                <c:pt idx="348">
                  <c:v>1.804E-2</c:v>
                </c:pt>
                <c:pt idx="349">
                  <c:v>6.7169999999999994E-2</c:v>
                </c:pt>
                <c:pt idx="350">
                  <c:v>0.11024</c:v>
                </c:pt>
                <c:pt idx="351">
                  <c:v>7.8219999999999998E-2</c:v>
                </c:pt>
                <c:pt idx="352">
                  <c:v>3.8519999999999999E-2</c:v>
                </c:pt>
                <c:pt idx="353">
                  <c:v>4.505E-2</c:v>
                </c:pt>
                <c:pt idx="354">
                  <c:v>6.7299999999999999E-2</c:v>
                </c:pt>
                <c:pt idx="355">
                  <c:v>0</c:v>
                </c:pt>
                <c:pt idx="356">
                  <c:v>5.4899999999999997E-2</c:v>
                </c:pt>
                <c:pt idx="357">
                  <c:v>2.7040000000000002E-2</c:v>
                </c:pt>
                <c:pt idx="358">
                  <c:v>7.8640000000000002E-2</c:v>
                </c:pt>
                <c:pt idx="359">
                  <c:v>0</c:v>
                </c:pt>
                <c:pt idx="360">
                  <c:v>1.6789999999999999E-2</c:v>
                </c:pt>
                <c:pt idx="361">
                  <c:v>6.2260000000000003E-2</c:v>
                </c:pt>
                <c:pt idx="362">
                  <c:v>3.4880000000000001E-2</c:v>
                </c:pt>
                <c:pt idx="363">
                  <c:v>7.2690000000000005E-2</c:v>
                </c:pt>
                <c:pt idx="364">
                  <c:v>1.5879999999999998E-2</c:v>
                </c:pt>
                <c:pt idx="365">
                  <c:v>1.9009999999999999E-2</c:v>
                </c:pt>
                <c:pt idx="366">
                  <c:v>3.4470000000000001E-2</c:v>
                </c:pt>
                <c:pt idx="367">
                  <c:v>1.9970000000000002E-2</c:v>
                </c:pt>
                <c:pt idx="368">
                  <c:v>0.14358000000000001</c:v>
                </c:pt>
                <c:pt idx="369">
                  <c:v>4.7840000000000001E-2</c:v>
                </c:pt>
                <c:pt idx="370">
                  <c:v>0.12909999999999999</c:v>
                </c:pt>
                <c:pt idx="371">
                  <c:v>0</c:v>
                </c:pt>
                <c:pt idx="372">
                  <c:v>2.9700000000000001E-2</c:v>
                </c:pt>
                <c:pt idx="373">
                  <c:v>0.11071</c:v>
                </c:pt>
                <c:pt idx="374">
                  <c:v>0</c:v>
                </c:pt>
                <c:pt idx="375">
                  <c:v>4.2139999999999997E-2</c:v>
                </c:pt>
                <c:pt idx="376">
                  <c:v>4.8410000000000002E-2</c:v>
                </c:pt>
                <c:pt idx="377">
                  <c:v>4.7109999999999999E-2</c:v>
                </c:pt>
                <c:pt idx="378">
                  <c:v>7.3200000000000001E-3</c:v>
                </c:pt>
                <c:pt idx="379">
                  <c:v>0</c:v>
                </c:pt>
                <c:pt idx="380">
                  <c:v>3.3759999999999998E-2</c:v>
                </c:pt>
                <c:pt idx="381">
                  <c:v>0.16905999999999999</c:v>
                </c:pt>
                <c:pt idx="382">
                  <c:v>6.6800000000000002E-3</c:v>
                </c:pt>
                <c:pt idx="383">
                  <c:v>2.4670000000000001E-2</c:v>
                </c:pt>
                <c:pt idx="384">
                  <c:v>1.159E-2</c:v>
                </c:pt>
                <c:pt idx="385">
                  <c:v>6.2050000000000001E-2</c:v>
                </c:pt>
                <c:pt idx="386">
                  <c:v>0.10517</c:v>
                </c:pt>
                <c:pt idx="387">
                  <c:v>2.648E-2</c:v>
                </c:pt>
                <c:pt idx="388">
                  <c:v>0</c:v>
                </c:pt>
                <c:pt idx="389">
                  <c:v>1.3299999999999999E-2</c:v>
                </c:pt>
                <c:pt idx="390">
                  <c:v>0.10287</c:v>
                </c:pt>
                <c:pt idx="391">
                  <c:v>1.32E-2</c:v>
                </c:pt>
                <c:pt idx="392">
                  <c:v>2.111E-2</c:v>
                </c:pt>
                <c:pt idx="393">
                  <c:v>7.6730000000000007E-2</c:v>
                </c:pt>
                <c:pt idx="394">
                  <c:v>3.4639999999999997E-2</c:v>
                </c:pt>
                <c:pt idx="395">
                  <c:v>5.7079999999999999E-2</c:v>
                </c:pt>
                <c:pt idx="396">
                  <c:v>8.702E-2</c:v>
                </c:pt>
                <c:pt idx="397">
                  <c:v>8.9700000000000005E-3</c:v>
                </c:pt>
                <c:pt idx="398">
                  <c:v>5.5329999999999997E-2</c:v>
                </c:pt>
                <c:pt idx="399">
                  <c:v>0</c:v>
                </c:pt>
                <c:pt idx="400">
                  <c:v>0</c:v>
                </c:pt>
                <c:pt idx="401">
                  <c:v>3.04E-2</c:v>
                </c:pt>
                <c:pt idx="402">
                  <c:v>6.5250000000000002E-2</c:v>
                </c:pt>
                <c:pt idx="403">
                  <c:v>0.10598</c:v>
                </c:pt>
                <c:pt idx="404">
                  <c:v>1.057E-2</c:v>
                </c:pt>
                <c:pt idx="405">
                  <c:v>9.1329999999999995E-2</c:v>
                </c:pt>
                <c:pt idx="406">
                  <c:v>1.1259999999999999E-2</c:v>
                </c:pt>
                <c:pt idx="407">
                  <c:v>1.6889999999999999E-2</c:v>
                </c:pt>
                <c:pt idx="408">
                  <c:v>1.8849999999999999E-2</c:v>
                </c:pt>
                <c:pt idx="409">
                  <c:v>1.4149999999999999E-2</c:v>
                </c:pt>
                <c:pt idx="410">
                  <c:v>0</c:v>
                </c:pt>
                <c:pt idx="411">
                  <c:v>5.3670000000000002E-2</c:v>
                </c:pt>
                <c:pt idx="412">
                  <c:v>4.8480000000000002E-2</c:v>
                </c:pt>
                <c:pt idx="413">
                  <c:v>5.5799999999999999E-3</c:v>
                </c:pt>
                <c:pt idx="414">
                  <c:v>2.809E-2</c:v>
                </c:pt>
                <c:pt idx="415">
                  <c:v>8.8459999999999997E-2</c:v>
                </c:pt>
                <c:pt idx="416">
                  <c:v>2.6339999999999999E-2</c:v>
                </c:pt>
                <c:pt idx="417">
                  <c:v>0.20941000000000001</c:v>
                </c:pt>
                <c:pt idx="418">
                  <c:v>1.448E-2</c:v>
                </c:pt>
                <c:pt idx="419">
                  <c:v>5.0889999999999998E-2</c:v>
                </c:pt>
                <c:pt idx="420">
                  <c:v>2.3130000000000001E-2</c:v>
                </c:pt>
                <c:pt idx="421">
                  <c:v>4.1520000000000001E-2</c:v>
                </c:pt>
                <c:pt idx="422">
                  <c:v>1.806E-2</c:v>
                </c:pt>
                <c:pt idx="423">
                  <c:v>2.794E-2</c:v>
                </c:pt>
                <c:pt idx="424">
                  <c:v>1.7090000000000001E-2</c:v>
                </c:pt>
                <c:pt idx="425">
                  <c:v>4.9029999999999997E-2</c:v>
                </c:pt>
                <c:pt idx="426">
                  <c:v>8.2890000000000005E-2</c:v>
                </c:pt>
                <c:pt idx="427">
                  <c:v>0.12307999999999999</c:v>
                </c:pt>
                <c:pt idx="428">
                  <c:v>0</c:v>
                </c:pt>
                <c:pt idx="429">
                  <c:v>0.10655000000000001</c:v>
                </c:pt>
                <c:pt idx="430">
                  <c:v>8.2299999999999995E-3</c:v>
                </c:pt>
                <c:pt idx="431">
                  <c:v>7.6749999999999999E-2</c:v>
                </c:pt>
                <c:pt idx="432">
                  <c:v>7.5520000000000004E-2</c:v>
                </c:pt>
                <c:pt idx="433">
                  <c:v>4.197E-2</c:v>
                </c:pt>
                <c:pt idx="434">
                  <c:v>5.1720000000000002E-2</c:v>
                </c:pt>
                <c:pt idx="435">
                  <c:v>3.0640000000000001E-2</c:v>
                </c:pt>
                <c:pt idx="436">
                  <c:v>5.781E-2</c:v>
                </c:pt>
                <c:pt idx="437">
                  <c:v>5.6399999999999999E-2</c:v>
                </c:pt>
                <c:pt idx="438">
                  <c:v>3.9489999999999997E-2</c:v>
                </c:pt>
                <c:pt idx="439">
                  <c:v>0</c:v>
                </c:pt>
                <c:pt idx="440">
                  <c:v>4.5170000000000002E-2</c:v>
                </c:pt>
                <c:pt idx="441">
                  <c:v>4.5170000000000002E-2</c:v>
                </c:pt>
                <c:pt idx="442">
                  <c:v>9.4350000000000003E-2</c:v>
                </c:pt>
                <c:pt idx="443">
                  <c:v>6.4900000000000001E-3</c:v>
                </c:pt>
                <c:pt idx="444">
                  <c:v>0</c:v>
                </c:pt>
                <c:pt idx="445">
                  <c:v>0</c:v>
                </c:pt>
                <c:pt idx="446">
                  <c:v>2.333E-2</c:v>
                </c:pt>
                <c:pt idx="447">
                  <c:v>2.5999999999999999E-2</c:v>
                </c:pt>
                <c:pt idx="448">
                  <c:v>0.10943</c:v>
                </c:pt>
                <c:pt idx="449">
                  <c:v>7.3580000000000007E-2</c:v>
                </c:pt>
                <c:pt idx="450">
                  <c:v>6.8999999999999999E-3</c:v>
                </c:pt>
                <c:pt idx="451">
                  <c:v>0.19442000000000001</c:v>
                </c:pt>
                <c:pt idx="452">
                  <c:v>1.9949999999999999E-2</c:v>
                </c:pt>
                <c:pt idx="453">
                  <c:v>1.789E-2</c:v>
                </c:pt>
                <c:pt idx="454">
                  <c:v>1.789E-2</c:v>
                </c:pt>
                <c:pt idx="455">
                  <c:v>1.643E-2</c:v>
                </c:pt>
                <c:pt idx="456">
                  <c:v>1.643E-2</c:v>
                </c:pt>
                <c:pt idx="457">
                  <c:v>1.643E-2</c:v>
                </c:pt>
                <c:pt idx="458">
                  <c:v>4.8379999999999999E-2</c:v>
                </c:pt>
                <c:pt idx="459">
                  <c:v>8.6199999999999992E-3</c:v>
                </c:pt>
                <c:pt idx="460">
                  <c:v>3.4049999999999997E-2</c:v>
                </c:pt>
                <c:pt idx="461">
                  <c:v>5.4030000000000002E-2</c:v>
                </c:pt>
                <c:pt idx="462">
                  <c:v>5.7209999999999997E-2</c:v>
                </c:pt>
                <c:pt idx="463">
                  <c:v>0</c:v>
                </c:pt>
                <c:pt idx="464">
                  <c:v>0.14179</c:v>
                </c:pt>
                <c:pt idx="465">
                  <c:v>0.17648</c:v>
                </c:pt>
                <c:pt idx="466">
                  <c:v>1.7319999999999999E-2</c:v>
                </c:pt>
                <c:pt idx="467">
                  <c:v>0</c:v>
                </c:pt>
                <c:pt idx="468">
                  <c:v>2.453E-2</c:v>
                </c:pt>
                <c:pt idx="469">
                  <c:v>2.9839999999999998E-2</c:v>
                </c:pt>
                <c:pt idx="470">
                  <c:v>8.6010000000000003E-2</c:v>
                </c:pt>
                <c:pt idx="471">
                  <c:v>5.4809999999999998E-2</c:v>
                </c:pt>
                <c:pt idx="472">
                  <c:v>2.9590000000000002E-2</c:v>
                </c:pt>
                <c:pt idx="473">
                  <c:v>0.11801</c:v>
                </c:pt>
                <c:pt idx="474">
                  <c:v>3.4160000000000003E-2</c:v>
                </c:pt>
                <c:pt idx="475">
                  <c:v>0</c:v>
                </c:pt>
                <c:pt idx="476">
                  <c:v>5.6309999999999999E-2</c:v>
                </c:pt>
                <c:pt idx="477">
                  <c:v>0.10206999999999999</c:v>
                </c:pt>
                <c:pt idx="478">
                  <c:v>0.13159000000000001</c:v>
                </c:pt>
                <c:pt idx="479">
                  <c:v>8.6400000000000001E-3</c:v>
                </c:pt>
                <c:pt idx="480">
                  <c:v>5.1749999999999997E-2</c:v>
                </c:pt>
                <c:pt idx="481">
                  <c:v>0.22691</c:v>
                </c:pt>
                <c:pt idx="482">
                  <c:v>0.18525</c:v>
                </c:pt>
                <c:pt idx="483">
                  <c:v>3.8800000000000002E-3</c:v>
                </c:pt>
                <c:pt idx="484">
                  <c:v>1.737E-2</c:v>
                </c:pt>
                <c:pt idx="485">
                  <c:v>0</c:v>
                </c:pt>
                <c:pt idx="486">
                  <c:v>4.0809999999999999E-2</c:v>
                </c:pt>
                <c:pt idx="487">
                  <c:v>3.116E-2</c:v>
                </c:pt>
                <c:pt idx="488">
                  <c:v>7.5289999999999996E-2</c:v>
                </c:pt>
                <c:pt idx="489">
                  <c:v>0.17363999999999999</c:v>
                </c:pt>
                <c:pt idx="490">
                  <c:v>3.7769999999999998E-2</c:v>
                </c:pt>
                <c:pt idx="491">
                  <c:v>6.1809999999999997E-2</c:v>
                </c:pt>
                <c:pt idx="492">
                  <c:v>7.6499999999999997E-3</c:v>
                </c:pt>
                <c:pt idx="493">
                  <c:v>1.302E-2</c:v>
                </c:pt>
                <c:pt idx="494">
                  <c:v>5.987E-2</c:v>
                </c:pt>
                <c:pt idx="495">
                  <c:v>0.1178</c:v>
                </c:pt>
                <c:pt idx="496">
                  <c:v>3.3210000000000003E-2</c:v>
                </c:pt>
                <c:pt idx="497">
                  <c:v>0</c:v>
                </c:pt>
                <c:pt idx="498">
                  <c:v>2.4490000000000001E-2</c:v>
                </c:pt>
                <c:pt idx="499">
                  <c:v>5.0600000000000003E-3</c:v>
                </c:pt>
                <c:pt idx="500">
                  <c:v>5.8549999999999998E-2</c:v>
                </c:pt>
                <c:pt idx="501">
                  <c:v>7.4550000000000005E-2</c:v>
                </c:pt>
                <c:pt idx="502">
                  <c:v>2.3140000000000001E-2</c:v>
                </c:pt>
                <c:pt idx="503">
                  <c:v>2.3140000000000001E-2</c:v>
                </c:pt>
                <c:pt idx="504">
                  <c:v>1.307E-2</c:v>
                </c:pt>
                <c:pt idx="505">
                  <c:v>3.2340000000000001E-2</c:v>
                </c:pt>
                <c:pt idx="506">
                  <c:v>0.13159000000000001</c:v>
                </c:pt>
                <c:pt idx="507">
                  <c:v>3.4680000000000002E-2</c:v>
                </c:pt>
                <c:pt idx="508">
                  <c:v>6.8399999999999997E-3</c:v>
                </c:pt>
                <c:pt idx="509">
                  <c:v>0</c:v>
                </c:pt>
                <c:pt idx="510">
                  <c:v>3.0880000000000001E-2</c:v>
                </c:pt>
                <c:pt idx="511">
                  <c:v>3.8240000000000003E-2</c:v>
                </c:pt>
                <c:pt idx="512">
                  <c:v>7.1870000000000003E-2</c:v>
                </c:pt>
                <c:pt idx="513">
                  <c:v>0.18690000000000001</c:v>
                </c:pt>
                <c:pt idx="514">
                  <c:v>2.2409999999999999E-2</c:v>
                </c:pt>
                <c:pt idx="515">
                  <c:v>2.981E-2</c:v>
                </c:pt>
                <c:pt idx="516">
                  <c:v>2.1829999999999999E-2</c:v>
                </c:pt>
                <c:pt idx="517">
                  <c:v>5.1499999999999997E-2</c:v>
                </c:pt>
                <c:pt idx="518">
                  <c:v>1.4840000000000001E-2</c:v>
                </c:pt>
                <c:pt idx="519">
                  <c:v>0</c:v>
                </c:pt>
                <c:pt idx="520">
                  <c:v>0</c:v>
                </c:pt>
                <c:pt idx="521">
                  <c:v>4.4060000000000002E-2</c:v>
                </c:pt>
                <c:pt idx="522">
                  <c:v>2.3599999999999999E-2</c:v>
                </c:pt>
                <c:pt idx="523">
                  <c:v>2.802E-2</c:v>
                </c:pt>
                <c:pt idx="524">
                  <c:v>2.3550000000000001E-2</c:v>
                </c:pt>
                <c:pt idx="525">
                  <c:v>2.8080000000000001E-2</c:v>
                </c:pt>
                <c:pt idx="526">
                  <c:v>3.8379999999999997E-2</c:v>
                </c:pt>
                <c:pt idx="527">
                  <c:v>1.787E-2</c:v>
                </c:pt>
                <c:pt idx="528">
                  <c:v>3.0519999999999999E-2</c:v>
                </c:pt>
                <c:pt idx="529">
                  <c:v>1.7239999999999998E-2</c:v>
                </c:pt>
                <c:pt idx="530">
                  <c:v>4.1419999999999998E-2</c:v>
                </c:pt>
                <c:pt idx="531">
                  <c:v>2.1350000000000001E-2</c:v>
                </c:pt>
                <c:pt idx="532">
                  <c:v>2.0820000000000002E-2</c:v>
                </c:pt>
                <c:pt idx="533">
                  <c:v>2.0820000000000002E-2</c:v>
                </c:pt>
                <c:pt idx="534">
                  <c:v>2.0820000000000002E-2</c:v>
                </c:pt>
                <c:pt idx="535">
                  <c:v>2.0820000000000002E-2</c:v>
                </c:pt>
                <c:pt idx="536">
                  <c:v>0.30758000000000002</c:v>
                </c:pt>
                <c:pt idx="537">
                  <c:v>1.0840000000000001E-2</c:v>
                </c:pt>
                <c:pt idx="538">
                  <c:v>0</c:v>
                </c:pt>
                <c:pt idx="539">
                  <c:v>1.133E-2</c:v>
                </c:pt>
                <c:pt idx="540">
                  <c:v>8.9999999999999993E-3</c:v>
                </c:pt>
                <c:pt idx="541">
                  <c:v>3.6240000000000001E-2</c:v>
                </c:pt>
                <c:pt idx="542">
                  <c:v>2.894E-2</c:v>
                </c:pt>
                <c:pt idx="543">
                  <c:v>0</c:v>
                </c:pt>
                <c:pt idx="544">
                  <c:v>4.759E-2</c:v>
                </c:pt>
                <c:pt idx="545">
                  <c:v>2.3099999999999999E-2</c:v>
                </c:pt>
                <c:pt idx="546">
                  <c:v>2.1260000000000001E-2</c:v>
                </c:pt>
                <c:pt idx="547">
                  <c:v>4.895E-2</c:v>
                </c:pt>
                <c:pt idx="548">
                  <c:v>2.9819999999999999E-2</c:v>
                </c:pt>
                <c:pt idx="549">
                  <c:v>1.3339999999999999E-2</c:v>
                </c:pt>
                <c:pt idx="550">
                  <c:v>0</c:v>
                </c:pt>
                <c:pt idx="551">
                  <c:v>4.4049999999999999E-2</c:v>
                </c:pt>
                <c:pt idx="552">
                  <c:v>1.065E-2</c:v>
                </c:pt>
                <c:pt idx="553">
                  <c:v>8.7929999999999994E-2</c:v>
                </c:pt>
                <c:pt idx="554">
                  <c:v>3.6089999999999997E-2</c:v>
                </c:pt>
                <c:pt idx="555">
                  <c:v>0.1361</c:v>
                </c:pt>
                <c:pt idx="556">
                  <c:v>8.8679999999999995E-2</c:v>
                </c:pt>
                <c:pt idx="557">
                  <c:v>1.285E-2</c:v>
                </c:pt>
                <c:pt idx="558">
                  <c:v>3.9699999999999996E-3</c:v>
                </c:pt>
                <c:pt idx="559">
                  <c:v>5.0700000000000002E-2</c:v>
                </c:pt>
                <c:pt idx="560">
                  <c:v>4.9369999999999997E-2</c:v>
                </c:pt>
                <c:pt idx="561">
                  <c:v>3.4889999999999997E-2</c:v>
                </c:pt>
                <c:pt idx="562">
                  <c:v>8.9029999999999998E-2</c:v>
                </c:pt>
                <c:pt idx="563">
                  <c:v>2.844E-2</c:v>
                </c:pt>
                <c:pt idx="564">
                  <c:v>9.8700000000000003E-3</c:v>
                </c:pt>
                <c:pt idx="565">
                  <c:v>0</c:v>
                </c:pt>
                <c:pt idx="566">
                  <c:v>0</c:v>
                </c:pt>
                <c:pt idx="567">
                  <c:v>2.1520000000000001E-2</c:v>
                </c:pt>
                <c:pt idx="568">
                  <c:v>0</c:v>
                </c:pt>
                <c:pt idx="569">
                  <c:v>3.5479999999999998E-2</c:v>
                </c:pt>
                <c:pt idx="570">
                  <c:v>6.9300000000000004E-3</c:v>
                </c:pt>
                <c:pt idx="571">
                  <c:v>0.11012</c:v>
                </c:pt>
                <c:pt idx="572">
                  <c:v>1.9560000000000001E-2</c:v>
                </c:pt>
                <c:pt idx="573">
                  <c:v>1.291E-2</c:v>
                </c:pt>
                <c:pt idx="574">
                  <c:v>0.25509999999999999</c:v>
                </c:pt>
                <c:pt idx="575">
                  <c:v>4.7870000000000003E-2</c:v>
                </c:pt>
                <c:pt idx="576">
                  <c:v>0</c:v>
                </c:pt>
                <c:pt idx="577">
                  <c:v>1.4200000000000001E-2</c:v>
                </c:pt>
                <c:pt idx="578">
                  <c:v>0.10954999999999999</c:v>
                </c:pt>
                <c:pt idx="579">
                  <c:v>2.545E-2</c:v>
                </c:pt>
                <c:pt idx="580">
                  <c:v>0.15023</c:v>
                </c:pt>
                <c:pt idx="581">
                  <c:v>0.1288</c:v>
                </c:pt>
                <c:pt idx="582">
                  <c:v>0.18124000000000001</c:v>
                </c:pt>
                <c:pt idx="583">
                  <c:v>0.11028</c:v>
                </c:pt>
                <c:pt idx="584">
                  <c:v>0.22473000000000001</c:v>
                </c:pt>
                <c:pt idx="585">
                  <c:v>2.913E-2</c:v>
                </c:pt>
                <c:pt idx="586">
                  <c:v>0</c:v>
                </c:pt>
                <c:pt idx="587">
                  <c:v>0.10477</c:v>
                </c:pt>
                <c:pt idx="588">
                  <c:v>5.5870000000000003E-2</c:v>
                </c:pt>
                <c:pt idx="589">
                  <c:v>0</c:v>
                </c:pt>
                <c:pt idx="590">
                  <c:v>2.249E-2</c:v>
                </c:pt>
                <c:pt idx="591">
                  <c:v>4.8189999999999997E-2</c:v>
                </c:pt>
                <c:pt idx="592">
                  <c:v>1.8620000000000001E-2</c:v>
                </c:pt>
                <c:pt idx="593">
                  <c:v>5.8110000000000002E-2</c:v>
                </c:pt>
                <c:pt idx="594">
                  <c:v>5.0699999999999999E-3</c:v>
                </c:pt>
                <c:pt idx="595">
                  <c:v>0</c:v>
                </c:pt>
                <c:pt idx="596">
                  <c:v>4.3279999999999999E-2</c:v>
                </c:pt>
                <c:pt idx="597">
                  <c:v>2.827E-2</c:v>
                </c:pt>
                <c:pt idx="598">
                  <c:v>1.4019999999999999E-2</c:v>
                </c:pt>
                <c:pt idx="599">
                  <c:v>4.7550000000000002E-2</c:v>
                </c:pt>
                <c:pt idx="600">
                  <c:v>3.8949999999999999E-2</c:v>
                </c:pt>
                <c:pt idx="601">
                  <c:v>5.0790000000000002E-2</c:v>
                </c:pt>
                <c:pt idx="602">
                  <c:v>0</c:v>
                </c:pt>
                <c:pt idx="603">
                  <c:v>0</c:v>
                </c:pt>
                <c:pt idx="604">
                  <c:v>0.10298</c:v>
                </c:pt>
                <c:pt idx="605">
                  <c:v>2.1389999999999999E-2</c:v>
                </c:pt>
                <c:pt idx="606">
                  <c:v>1.159E-2</c:v>
                </c:pt>
                <c:pt idx="607">
                  <c:v>7.7090000000000006E-2</c:v>
                </c:pt>
                <c:pt idx="608">
                  <c:v>3.705E-2</c:v>
                </c:pt>
                <c:pt idx="609">
                  <c:v>4.9020000000000001E-2</c:v>
                </c:pt>
                <c:pt idx="610">
                  <c:v>2.3390000000000001E-2</c:v>
                </c:pt>
                <c:pt idx="611">
                  <c:v>4.8059999999999999E-2</c:v>
                </c:pt>
                <c:pt idx="612">
                  <c:v>0</c:v>
                </c:pt>
                <c:pt idx="613">
                  <c:v>1.7309999999999999E-2</c:v>
                </c:pt>
                <c:pt idx="614">
                  <c:v>1.2919999999999999E-2</c:v>
                </c:pt>
                <c:pt idx="615">
                  <c:v>0</c:v>
                </c:pt>
                <c:pt idx="616">
                  <c:v>4.6980000000000001E-2</c:v>
                </c:pt>
                <c:pt idx="617">
                  <c:v>6.9779999999999995E-2</c:v>
                </c:pt>
                <c:pt idx="618">
                  <c:v>4.326E-2</c:v>
                </c:pt>
                <c:pt idx="619">
                  <c:v>5.2920000000000002E-2</c:v>
                </c:pt>
                <c:pt idx="620">
                  <c:v>5.1909999999999998E-2</c:v>
                </c:pt>
                <c:pt idx="621">
                  <c:v>0</c:v>
                </c:pt>
                <c:pt idx="622">
                  <c:v>2.3470000000000001E-2</c:v>
                </c:pt>
                <c:pt idx="623">
                  <c:v>4.725E-2</c:v>
                </c:pt>
                <c:pt idx="624">
                  <c:v>7.5579999999999994E-2</c:v>
                </c:pt>
                <c:pt idx="625">
                  <c:v>1.7680000000000001E-2</c:v>
                </c:pt>
                <c:pt idx="626">
                  <c:v>6.4200000000000004E-3</c:v>
                </c:pt>
                <c:pt idx="627">
                  <c:v>3.4610000000000002E-2</c:v>
                </c:pt>
                <c:pt idx="628">
                  <c:v>2.622E-2</c:v>
                </c:pt>
                <c:pt idx="629">
                  <c:v>1.188E-2</c:v>
                </c:pt>
                <c:pt idx="630">
                  <c:v>3.9230000000000001E-2</c:v>
                </c:pt>
                <c:pt idx="631">
                  <c:v>6.1440000000000002E-2</c:v>
                </c:pt>
                <c:pt idx="632">
                  <c:v>5.1369999999999999E-2</c:v>
                </c:pt>
                <c:pt idx="633">
                  <c:v>2.4930000000000001E-2</c:v>
                </c:pt>
                <c:pt idx="634">
                  <c:v>3.2969999999999999E-2</c:v>
                </c:pt>
                <c:pt idx="635">
                  <c:v>7.2319999999999995E-2</c:v>
                </c:pt>
                <c:pt idx="636">
                  <c:v>3.6560000000000002E-2</c:v>
                </c:pt>
                <c:pt idx="637">
                  <c:v>7.2020000000000001E-2</c:v>
                </c:pt>
                <c:pt idx="638">
                  <c:v>4.2659999999999997E-2</c:v>
                </c:pt>
                <c:pt idx="639">
                  <c:v>0.25206000000000001</c:v>
                </c:pt>
                <c:pt idx="640">
                  <c:v>0</c:v>
                </c:pt>
                <c:pt idx="641">
                  <c:v>1.0160000000000001E-2</c:v>
                </c:pt>
                <c:pt idx="642">
                  <c:v>9.128E-2</c:v>
                </c:pt>
                <c:pt idx="643">
                  <c:v>1.67E-2</c:v>
                </c:pt>
                <c:pt idx="644">
                  <c:v>1.7930000000000001E-2</c:v>
                </c:pt>
                <c:pt idx="645">
                  <c:v>3.218E-2</c:v>
                </c:pt>
                <c:pt idx="646">
                  <c:v>8.6889999999999995E-2</c:v>
                </c:pt>
                <c:pt idx="647">
                  <c:v>6.4949999999999994E-2</c:v>
                </c:pt>
                <c:pt idx="648">
                  <c:v>3.7109999999999997E-2</c:v>
                </c:pt>
                <c:pt idx="649">
                  <c:v>1.694E-2</c:v>
                </c:pt>
                <c:pt idx="650">
                  <c:v>1.472E-2</c:v>
                </c:pt>
                <c:pt idx="651">
                  <c:v>3.7879999999999997E-2</c:v>
                </c:pt>
                <c:pt idx="652">
                  <c:v>2.1149999999999999E-2</c:v>
                </c:pt>
                <c:pt idx="653">
                  <c:v>0.2195</c:v>
                </c:pt>
                <c:pt idx="654">
                  <c:v>7.3099999999999998E-2</c:v>
                </c:pt>
                <c:pt idx="655">
                  <c:v>2.6749999999999999E-2</c:v>
                </c:pt>
                <c:pt idx="656">
                  <c:v>2.5149999999999999E-2</c:v>
                </c:pt>
                <c:pt idx="657">
                  <c:v>1.6990000000000002E-2</c:v>
                </c:pt>
                <c:pt idx="658">
                  <c:v>0.12132</c:v>
                </c:pt>
                <c:pt idx="659">
                  <c:v>0.20222999999999999</c:v>
                </c:pt>
                <c:pt idx="660">
                  <c:v>2.4750000000000001E-2</c:v>
                </c:pt>
                <c:pt idx="661">
                  <c:v>4.3560000000000001E-2</c:v>
                </c:pt>
                <c:pt idx="662">
                  <c:v>2.615E-2</c:v>
                </c:pt>
                <c:pt idx="663">
                  <c:v>0.26401000000000002</c:v>
                </c:pt>
                <c:pt idx="664">
                  <c:v>8.1300000000000001E-3</c:v>
                </c:pt>
                <c:pt idx="665">
                  <c:v>3.3430000000000001E-2</c:v>
                </c:pt>
                <c:pt idx="666">
                  <c:v>0</c:v>
                </c:pt>
                <c:pt idx="667">
                  <c:v>0</c:v>
                </c:pt>
                <c:pt idx="668">
                  <c:v>8.7500000000000008E-3</c:v>
                </c:pt>
                <c:pt idx="669">
                  <c:v>5.4559999999999997E-2</c:v>
                </c:pt>
                <c:pt idx="670">
                  <c:v>7.7420000000000003E-2</c:v>
                </c:pt>
                <c:pt idx="671">
                  <c:v>0</c:v>
                </c:pt>
                <c:pt idx="672">
                  <c:v>0.12107</c:v>
                </c:pt>
                <c:pt idx="673">
                  <c:v>1.1639999999999999E-2</c:v>
                </c:pt>
                <c:pt idx="674">
                  <c:v>4.1309999999999999E-2</c:v>
                </c:pt>
                <c:pt idx="675">
                  <c:v>3.3300000000000003E-2</c:v>
                </c:pt>
                <c:pt idx="676">
                  <c:v>0</c:v>
                </c:pt>
                <c:pt idx="677">
                  <c:v>4.8230000000000002E-2</c:v>
                </c:pt>
                <c:pt idx="678">
                  <c:v>3.7690000000000001E-2</c:v>
                </c:pt>
                <c:pt idx="679">
                  <c:v>3.7690000000000001E-2</c:v>
                </c:pt>
                <c:pt idx="680">
                  <c:v>8.5139999999999993E-2</c:v>
                </c:pt>
                <c:pt idx="681">
                  <c:v>1.968E-2</c:v>
                </c:pt>
                <c:pt idx="682">
                  <c:v>6.0699999999999997E-2</c:v>
                </c:pt>
                <c:pt idx="683">
                  <c:v>0</c:v>
                </c:pt>
                <c:pt idx="684">
                  <c:v>7.9399999999999998E-2</c:v>
                </c:pt>
                <c:pt idx="685">
                  <c:v>7.8670000000000004E-2</c:v>
                </c:pt>
                <c:pt idx="686">
                  <c:v>2.0389999999999998E-2</c:v>
                </c:pt>
                <c:pt idx="687">
                  <c:v>3.8510000000000003E-2</c:v>
                </c:pt>
                <c:pt idx="688">
                  <c:v>4.2869999999999998E-2</c:v>
                </c:pt>
                <c:pt idx="689">
                  <c:v>1.397E-2</c:v>
                </c:pt>
                <c:pt idx="690">
                  <c:v>3.6569999999999998E-2</c:v>
                </c:pt>
                <c:pt idx="691">
                  <c:v>5.2220000000000003E-2</c:v>
                </c:pt>
                <c:pt idx="692">
                  <c:v>1.1860000000000001E-2</c:v>
                </c:pt>
                <c:pt idx="693">
                  <c:v>5.7000000000000002E-2</c:v>
                </c:pt>
                <c:pt idx="694">
                  <c:v>2.921E-2</c:v>
                </c:pt>
                <c:pt idx="695">
                  <c:v>2.0140000000000002E-2</c:v>
                </c:pt>
                <c:pt idx="696">
                  <c:v>0.42058000000000001</c:v>
                </c:pt>
                <c:pt idx="697">
                  <c:v>5.0770000000000003E-2</c:v>
                </c:pt>
                <c:pt idx="698">
                  <c:v>4.9700000000000001E-2</c:v>
                </c:pt>
                <c:pt idx="699">
                  <c:v>0.1116</c:v>
                </c:pt>
                <c:pt idx="700">
                  <c:v>4.3950000000000003E-2</c:v>
                </c:pt>
                <c:pt idx="701">
                  <c:v>3.32E-2</c:v>
                </c:pt>
                <c:pt idx="702">
                  <c:v>6.0729999999999999E-2</c:v>
                </c:pt>
                <c:pt idx="703">
                  <c:v>2.759E-2</c:v>
                </c:pt>
                <c:pt idx="704">
                  <c:v>0.13944999999999999</c:v>
                </c:pt>
                <c:pt idx="705">
                  <c:v>0.11069</c:v>
                </c:pt>
                <c:pt idx="706">
                  <c:v>8.2189999999999999E-2</c:v>
                </c:pt>
                <c:pt idx="707">
                  <c:v>0.12032</c:v>
                </c:pt>
                <c:pt idx="708">
                  <c:v>5.5559999999999998E-2</c:v>
                </c:pt>
                <c:pt idx="709">
                  <c:v>9.1189999999999993E-2</c:v>
                </c:pt>
                <c:pt idx="710">
                  <c:v>3.8769999999999999E-2</c:v>
                </c:pt>
                <c:pt idx="711">
                  <c:v>1.6140000000000002E-2</c:v>
                </c:pt>
                <c:pt idx="712">
                  <c:v>5.6820000000000002E-2</c:v>
                </c:pt>
                <c:pt idx="713">
                  <c:v>0.15093999999999999</c:v>
                </c:pt>
                <c:pt idx="714">
                  <c:v>5.1979999999999998E-2</c:v>
                </c:pt>
                <c:pt idx="715">
                  <c:v>2.3380000000000001E-2</c:v>
                </c:pt>
                <c:pt idx="716">
                  <c:v>4.7640000000000002E-2</c:v>
                </c:pt>
                <c:pt idx="717">
                  <c:v>1.6400000000000001E-2</c:v>
                </c:pt>
                <c:pt idx="718">
                  <c:v>0</c:v>
                </c:pt>
                <c:pt idx="719">
                  <c:v>2.4060000000000002E-2</c:v>
                </c:pt>
                <c:pt idx="720">
                  <c:v>9.0900000000000009E-3</c:v>
                </c:pt>
                <c:pt idx="721">
                  <c:v>1.073E-2</c:v>
                </c:pt>
                <c:pt idx="722">
                  <c:v>1.865E-2</c:v>
                </c:pt>
                <c:pt idx="723">
                  <c:v>0.19347</c:v>
                </c:pt>
                <c:pt idx="724">
                  <c:v>0</c:v>
                </c:pt>
                <c:pt idx="725">
                  <c:v>3.2899999999999999E-2</c:v>
                </c:pt>
                <c:pt idx="726">
                  <c:v>4.1459999999999997E-2</c:v>
                </c:pt>
                <c:pt idx="727">
                  <c:v>2.402E-2</c:v>
                </c:pt>
                <c:pt idx="728">
                  <c:v>3.7789999999999997E-2</c:v>
                </c:pt>
                <c:pt idx="729">
                  <c:v>9.8799999999999999E-3</c:v>
                </c:pt>
                <c:pt idx="730">
                  <c:v>2.4109999999999999E-2</c:v>
                </c:pt>
                <c:pt idx="731">
                  <c:v>2.7179999999999999E-2</c:v>
                </c:pt>
                <c:pt idx="732">
                  <c:v>3.227E-2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E-4A4B-8981-7563D5668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5391"/>
        <c:axId val="160091183"/>
      </c:scatterChart>
      <c:valAx>
        <c:axId val="1702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1183"/>
        <c:crosses val="autoZero"/>
        <c:crossBetween val="midCat"/>
      </c:valAx>
      <c:valAx>
        <c:axId val="1600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dN/dS vs. GC_skew</a:t>
            </a:r>
          </a:p>
          <a:p>
            <a:pPr>
              <a:defRPr/>
            </a:pPr>
            <a:r>
              <a:rPr lang="en-US"/>
              <a:t>(CD</a:t>
            </a:r>
            <a:r>
              <a:rPr lang="en-US" baseline="0"/>
              <a:t> Genes)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cd!$BJ$2</c:f>
              <c:strCache>
                <c:ptCount val="1"/>
                <c:pt idx="0">
                  <c:v>dN/dS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cd!$BK$4:$BK$736</c:f>
              <c:numCache>
                <c:formatCode>General</c:formatCode>
                <c:ptCount val="733"/>
                <c:pt idx="0">
                  <c:v>-3.7174721189590998E-3</c:v>
                </c:pt>
                <c:pt idx="1">
                  <c:v>5.3254437869822403E-2</c:v>
                </c:pt>
                <c:pt idx="2">
                  <c:v>6.1413673232908403E-2</c:v>
                </c:pt>
                <c:pt idx="3">
                  <c:v>8.4639498432601795E-2</c:v>
                </c:pt>
                <c:pt idx="4">
                  <c:v>8.4639498432601795E-2</c:v>
                </c:pt>
                <c:pt idx="5">
                  <c:v>0.13703703703703701</c:v>
                </c:pt>
                <c:pt idx="6">
                  <c:v>0.14987714987714901</c:v>
                </c:pt>
                <c:pt idx="7">
                  <c:v>0.108527131782945</c:v>
                </c:pt>
                <c:pt idx="8">
                  <c:v>0.317647058823529</c:v>
                </c:pt>
                <c:pt idx="9">
                  <c:v>8.6956521739130405E-2</c:v>
                </c:pt>
                <c:pt idx="10">
                  <c:v>6.0532687651331699E-2</c:v>
                </c:pt>
                <c:pt idx="11">
                  <c:v>0.21126760563380201</c:v>
                </c:pt>
                <c:pt idx="12">
                  <c:v>0.20588235294117599</c:v>
                </c:pt>
                <c:pt idx="13">
                  <c:v>0.139194139194139</c:v>
                </c:pt>
                <c:pt idx="14">
                  <c:v>0.17374517374517301</c:v>
                </c:pt>
                <c:pt idx="15">
                  <c:v>0.27058823529411702</c:v>
                </c:pt>
                <c:pt idx="16">
                  <c:v>0.17224880382775101</c:v>
                </c:pt>
                <c:pt idx="17">
                  <c:v>8.7431693989070997E-2</c:v>
                </c:pt>
                <c:pt idx="18">
                  <c:v>0.101796407185628</c:v>
                </c:pt>
                <c:pt idx="19">
                  <c:v>0.13636363636363599</c:v>
                </c:pt>
                <c:pt idx="20">
                  <c:v>0.16554054054053999</c:v>
                </c:pt>
                <c:pt idx="21">
                  <c:v>4.1769041769041698E-2</c:v>
                </c:pt>
                <c:pt idx="22">
                  <c:v>0.157894736842105</c:v>
                </c:pt>
                <c:pt idx="23">
                  <c:v>7.8651685393258397E-2</c:v>
                </c:pt>
                <c:pt idx="24">
                  <c:v>4.0322580645161199E-2</c:v>
                </c:pt>
                <c:pt idx="25">
                  <c:v>0.165562913907284</c:v>
                </c:pt>
                <c:pt idx="26">
                  <c:v>0.16129032258064499</c:v>
                </c:pt>
                <c:pt idx="27">
                  <c:v>8.7999999999999995E-2</c:v>
                </c:pt>
                <c:pt idx="28">
                  <c:v>0.2018779342723</c:v>
                </c:pt>
                <c:pt idx="29">
                  <c:v>0.102272727272727</c:v>
                </c:pt>
                <c:pt idx="30">
                  <c:v>0.117117117117117</c:v>
                </c:pt>
                <c:pt idx="31">
                  <c:v>0.15167095115681201</c:v>
                </c:pt>
                <c:pt idx="32">
                  <c:v>8.5308056872037893E-2</c:v>
                </c:pt>
                <c:pt idx="33">
                  <c:v>0.17777777777777701</c:v>
                </c:pt>
                <c:pt idx="34">
                  <c:v>0.21603563474387499</c:v>
                </c:pt>
                <c:pt idx="35">
                  <c:v>2.4615384615384601E-2</c:v>
                </c:pt>
                <c:pt idx="36">
                  <c:v>0.126582278481012</c:v>
                </c:pt>
                <c:pt idx="37">
                  <c:v>8.2125603864734303E-2</c:v>
                </c:pt>
                <c:pt idx="38">
                  <c:v>0.142231947483588</c:v>
                </c:pt>
                <c:pt idx="39">
                  <c:v>0.17620137299771099</c:v>
                </c:pt>
                <c:pt idx="40">
                  <c:v>0.20541760722347599</c:v>
                </c:pt>
                <c:pt idx="41">
                  <c:v>0.14194577352471999</c:v>
                </c:pt>
                <c:pt idx="42">
                  <c:v>0.14385964912280699</c:v>
                </c:pt>
                <c:pt idx="43">
                  <c:v>9.6880131362889907E-2</c:v>
                </c:pt>
                <c:pt idx="44">
                  <c:v>8.7912087912087905E-2</c:v>
                </c:pt>
                <c:pt idx="45">
                  <c:v>0.162921348314606</c:v>
                </c:pt>
                <c:pt idx="46">
                  <c:v>0.29824561403508698</c:v>
                </c:pt>
                <c:pt idx="47">
                  <c:v>0.12781954887218</c:v>
                </c:pt>
                <c:pt idx="48">
                  <c:v>0.22727272727272699</c:v>
                </c:pt>
                <c:pt idx="49">
                  <c:v>8.1081081081081002E-2</c:v>
                </c:pt>
                <c:pt idx="50">
                  <c:v>6.8493150684931503E-2</c:v>
                </c:pt>
                <c:pt idx="51">
                  <c:v>0.15584415584415501</c:v>
                </c:pt>
                <c:pt idx="52">
                  <c:v>5.6000000000000001E-2</c:v>
                </c:pt>
                <c:pt idx="53">
                  <c:v>7.3321010474430001E-2</c:v>
                </c:pt>
                <c:pt idx="54">
                  <c:v>3.5294117647058802E-2</c:v>
                </c:pt>
                <c:pt idx="55">
                  <c:v>0.12621359223300899</c:v>
                </c:pt>
                <c:pt idx="56">
                  <c:v>-2.7322404371584699E-2</c:v>
                </c:pt>
                <c:pt idx="57">
                  <c:v>5.0505050505050497E-2</c:v>
                </c:pt>
                <c:pt idx="58">
                  <c:v>5.7395143487858701E-2</c:v>
                </c:pt>
                <c:pt idx="59">
                  <c:v>5.7361376673040103E-3</c:v>
                </c:pt>
                <c:pt idx="60">
                  <c:v>0.11524163568773201</c:v>
                </c:pt>
                <c:pt idx="61">
                  <c:v>3.03030303030303E-2</c:v>
                </c:pt>
                <c:pt idx="62">
                  <c:v>8.9285714285714204E-2</c:v>
                </c:pt>
                <c:pt idx="63">
                  <c:v>-2.1857923497267701E-2</c:v>
                </c:pt>
                <c:pt idx="64">
                  <c:v>6.8965517241379296E-2</c:v>
                </c:pt>
                <c:pt idx="65">
                  <c:v>0.105590062111801</c:v>
                </c:pt>
                <c:pt idx="66">
                  <c:v>0.11688311688311601</c:v>
                </c:pt>
                <c:pt idx="67">
                  <c:v>1.4925373134328301E-2</c:v>
                </c:pt>
                <c:pt idx="68">
                  <c:v>0.103092783505154</c:v>
                </c:pt>
                <c:pt idx="69">
                  <c:v>7.9482439926062798E-2</c:v>
                </c:pt>
                <c:pt idx="70">
                  <c:v>0.159010600706713</c:v>
                </c:pt>
                <c:pt idx="71">
                  <c:v>0.10886075949367</c:v>
                </c:pt>
                <c:pt idx="72">
                  <c:v>6.2111801242236003E-3</c:v>
                </c:pt>
                <c:pt idx="73">
                  <c:v>0.22222222222222199</c:v>
                </c:pt>
                <c:pt idx="74">
                  <c:v>0.22222222222222199</c:v>
                </c:pt>
                <c:pt idx="75">
                  <c:v>0.13390313390313299</c:v>
                </c:pt>
                <c:pt idx="76">
                  <c:v>5.5865921787709499E-3</c:v>
                </c:pt>
                <c:pt idx="77">
                  <c:v>0.22093023255813901</c:v>
                </c:pt>
                <c:pt idx="78">
                  <c:v>0.25862068965517199</c:v>
                </c:pt>
                <c:pt idx="79">
                  <c:v>0.117903930131004</c:v>
                </c:pt>
                <c:pt idx="80">
                  <c:v>0.120567375886524</c:v>
                </c:pt>
                <c:pt idx="81">
                  <c:v>0.109947643979057</c:v>
                </c:pt>
                <c:pt idx="82">
                  <c:v>0.13260530421216801</c:v>
                </c:pt>
                <c:pt idx="83">
                  <c:v>5.1886792452830101E-2</c:v>
                </c:pt>
                <c:pt idx="84">
                  <c:v>5.8823529411764698E-2</c:v>
                </c:pt>
                <c:pt idx="85">
                  <c:v>0.12476007677543099</c:v>
                </c:pt>
                <c:pt idx="86">
                  <c:v>0.25274725274725202</c:v>
                </c:pt>
                <c:pt idx="87">
                  <c:v>0.27272727272727199</c:v>
                </c:pt>
                <c:pt idx="88">
                  <c:v>0.27272727272727199</c:v>
                </c:pt>
                <c:pt idx="89">
                  <c:v>0.144859813084112</c:v>
                </c:pt>
                <c:pt idx="90">
                  <c:v>0.1875</c:v>
                </c:pt>
                <c:pt idx="91">
                  <c:v>3.8461538461538401E-2</c:v>
                </c:pt>
                <c:pt idx="92">
                  <c:v>0.18</c:v>
                </c:pt>
                <c:pt idx="93">
                  <c:v>8.1174438687392006E-2</c:v>
                </c:pt>
                <c:pt idx="94">
                  <c:v>8.6956521739130405E-2</c:v>
                </c:pt>
                <c:pt idx="95">
                  <c:v>0.122093023255813</c:v>
                </c:pt>
                <c:pt idx="96">
                  <c:v>7.5999999999999998E-2</c:v>
                </c:pt>
                <c:pt idx="97">
                  <c:v>0.112820512820512</c:v>
                </c:pt>
                <c:pt idx="98">
                  <c:v>0.123893805309734</c:v>
                </c:pt>
                <c:pt idx="99">
                  <c:v>7.0707070707070704E-2</c:v>
                </c:pt>
                <c:pt idx="100">
                  <c:v>3.8696537678207701E-2</c:v>
                </c:pt>
                <c:pt idx="101">
                  <c:v>0.24503311258278099</c:v>
                </c:pt>
                <c:pt idx="102">
                  <c:v>-9.85915492957746E-2</c:v>
                </c:pt>
                <c:pt idx="103">
                  <c:v>0.109634551495016</c:v>
                </c:pt>
                <c:pt idx="104">
                  <c:v>0.20945945945945901</c:v>
                </c:pt>
                <c:pt idx="105">
                  <c:v>3.0837004405286299E-2</c:v>
                </c:pt>
                <c:pt idx="106">
                  <c:v>5.2380952380952299E-2</c:v>
                </c:pt>
                <c:pt idx="107">
                  <c:v>8.43373493975903E-2</c:v>
                </c:pt>
                <c:pt idx="108">
                  <c:v>0.1005291005291</c:v>
                </c:pt>
                <c:pt idx="109">
                  <c:v>6.0773480662983402E-2</c:v>
                </c:pt>
                <c:pt idx="110">
                  <c:v>5.5837563451776602E-2</c:v>
                </c:pt>
                <c:pt idx="111">
                  <c:v>0.121019108280254</c:v>
                </c:pt>
                <c:pt idx="112">
                  <c:v>9.9656357388316102E-2</c:v>
                </c:pt>
                <c:pt idx="113">
                  <c:v>8.9655172413793102E-2</c:v>
                </c:pt>
                <c:pt idx="114">
                  <c:v>8.6172344689378705E-2</c:v>
                </c:pt>
                <c:pt idx="115">
                  <c:v>8.5959885386819399E-3</c:v>
                </c:pt>
                <c:pt idx="116">
                  <c:v>5.3613053613053602E-2</c:v>
                </c:pt>
                <c:pt idx="117">
                  <c:v>5.0279329608938501E-2</c:v>
                </c:pt>
                <c:pt idx="118">
                  <c:v>4.3824701195219098E-2</c:v>
                </c:pt>
                <c:pt idx="119">
                  <c:v>2.1052631578947299E-2</c:v>
                </c:pt>
                <c:pt idx="120">
                  <c:v>0.2</c:v>
                </c:pt>
                <c:pt idx="121">
                  <c:v>3.4722222222222203E-2</c:v>
                </c:pt>
                <c:pt idx="122">
                  <c:v>0.19</c:v>
                </c:pt>
                <c:pt idx="123">
                  <c:v>0.182608695652173</c:v>
                </c:pt>
                <c:pt idx="124">
                  <c:v>8.6142322097378196E-2</c:v>
                </c:pt>
                <c:pt idx="125">
                  <c:v>0.157894736842105</c:v>
                </c:pt>
                <c:pt idx="126">
                  <c:v>7.49354005167958E-2</c:v>
                </c:pt>
                <c:pt idx="127">
                  <c:v>0.25675675675675602</c:v>
                </c:pt>
                <c:pt idx="128">
                  <c:v>7.8873239436619696E-2</c:v>
                </c:pt>
                <c:pt idx="129">
                  <c:v>7.8873239436619696E-2</c:v>
                </c:pt>
                <c:pt idx="130">
                  <c:v>9.0909090909090898E-2</c:v>
                </c:pt>
                <c:pt idx="131">
                  <c:v>0.125</c:v>
                </c:pt>
                <c:pt idx="132">
                  <c:v>0.367088607594936</c:v>
                </c:pt>
                <c:pt idx="133">
                  <c:v>9.3877551020408095E-2</c:v>
                </c:pt>
                <c:pt idx="134">
                  <c:v>0.143911439114391</c:v>
                </c:pt>
                <c:pt idx="135">
                  <c:v>5.5837563451776602E-2</c:v>
                </c:pt>
                <c:pt idx="136">
                  <c:v>5.5837563451776602E-2</c:v>
                </c:pt>
                <c:pt idx="137">
                  <c:v>0.11038961038961</c:v>
                </c:pt>
                <c:pt idx="138">
                  <c:v>0.21904761904761899</c:v>
                </c:pt>
                <c:pt idx="139">
                  <c:v>0.114551083591331</c:v>
                </c:pt>
                <c:pt idx="140">
                  <c:v>8.7628865979381396E-2</c:v>
                </c:pt>
                <c:pt idx="141">
                  <c:v>0.112087912087912</c:v>
                </c:pt>
                <c:pt idx="142">
                  <c:v>4.22535211267605E-2</c:v>
                </c:pt>
                <c:pt idx="143">
                  <c:v>0.12195121951219499</c:v>
                </c:pt>
                <c:pt idx="144">
                  <c:v>1.5873015873015799E-2</c:v>
                </c:pt>
                <c:pt idx="145">
                  <c:v>2.09580838323353E-2</c:v>
                </c:pt>
                <c:pt idx="146">
                  <c:v>3.64025695931477E-2</c:v>
                </c:pt>
                <c:pt idx="147">
                  <c:v>0.14388489208633001</c:v>
                </c:pt>
                <c:pt idx="148">
                  <c:v>0.108108108108108</c:v>
                </c:pt>
                <c:pt idx="149">
                  <c:v>0.10032362459546899</c:v>
                </c:pt>
                <c:pt idx="150">
                  <c:v>0.102158273381294</c:v>
                </c:pt>
                <c:pt idx="151">
                  <c:v>0.12903225806451599</c:v>
                </c:pt>
                <c:pt idx="152">
                  <c:v>2.1077283372365301E-2</c:v>
                </c:pt>
                <c:pt idx="153">
                  <c:v>6.25E-2</c:v>
                </c:pt>
                <c:pt idx="154">
                  <c:v>0.126436781609195</c:v>
                </c:pt>
                <c:pt idx="155">
                  <c:v>0.17171717171717099</c:v>
                </c:pt>
                <c:pt idx="156">
                  <c:v>3.7821482602117998E-2</c:v>
                </c:pt>
                <c:pt idx="157">
                  <c:v>0.15470494417862801</c:v>
                </c:pt>
                <c:pt idx="158">
                  <c:v>0.15470494417862801</c:v>
                </c:pt>
                <c:pt idx="159">
                  <c:v>0.12676056338028099</c:v>
                </c:pt>
                <c:pt idx="160">
                  <c:v>0.17333333333333301</c:v>
                </c:pt>
                <c:pt idx="161">
                  <c:v>2.8213166144200601E-2</c:v>
                </c:pt>
                <c:pt idx="162">
                  <c:v>0.19480519480519401</c:v>
                </c:pt>
                <c:pt idx="163">
                  <c:v>9.0909090909090898E-2</c:v>
                </c:pt>
                <c:pt idx="164">
                  <c:v>0.02</c:v>
                </c:pt>
                <c:pt idx="165">
                  <c:v>0.16279069767441801</c:v>
                </c:pt>
                <c:pt idx="166">
                  <c:v>0.16279069767441801</c:v>
                </c:pt>
                <c:pt idx="167">
                  <c:v>3.03030303030303E-2</c:v>
                </c:pt>
                <c:pt idx="168">
                  <c:v>0.16306954436450799</c:v>
                </c:pt>
                <c:pt idx="169">
                  <c:v>0.132382892057026</c:v>
                </c:pt>
                <c:pt idx="170">
                  <c:v>3.5294117647058802E-2</c:v>
                </c:pt>
                <c:pt idx="171">
                  <c:v>7.2847682119205295E-2</c:v>
                </c:pt>
                <c:pt idx="172">
                  <c:v>5.9679767103347797E-2</c:v>
                </c:pt>
                <c:pt idx="173">
                  <c:v>0.109947643979057</c:v>
                </c:pt>
                <c:pt idx="174">
                  <c:v>0.10188679245283</c:v>
                </c:pt>
                <c:pt idx="175">
                  <c:v>0.31818181818181801</c:v>
                </c:pt>
                <c:pt idx="176">
                  <c:v>0.165562913907284</c:v>
                </c:pt>
                <c:pt idx="177">
                  <c:v>0.214285714285714</c:v>
                </c:pt>
                <c:pt idx="178">
                  <c:v>-0.25581395348837199</c:v>
                </c:pt>
                <c:pt idx="179">
                  <c:v>0.118840579710144</c:v>
                </c:pt>
                <c:pt idx="180">
                  <c:v>8.66141732283464E-2</c:v>
                </c:pt>
                <c:pt idx="181">
                  <c:v>6.9767441860465101E-2</c:v>
                </c:pt>
                <c:pt idx="182">
                  <c:v>0.11864406779661001</c:v>
                </c:pt>
                <c:pt idx="183">
                  <c:v>0.161904761904761</c:v>
                </c:pt>
                <c:pt idx="184">
                  <c:v>0.11363636363636299</c:v>
                </c:pt>
                <c:pt idx="185">
                  <c:v>0.140142517814726</c:v>
                </c:pt>
                <c:pt idx="186">
                  <c:v>2.4691358024691301E-2</c:v>
                </c:pt>
                <c:pt idx="187">
                  <c:v>8.7804878048780399E-2</c:v>
                </c:pt>
                <c:pt idx="188">
                  <c:v>5.6000000000000001E-2</c:v>
                </c:pt>
                <c:pt idx="189">
                  <c:v>2.5000000000000001E-2</c:v>
                </c:pt>
                <c:pt idx="190">
                  <c:v>4.1942604856512099E-2</c:v>
                </c:pt>
                <c:pt idx="191">
                  <c:v>0.161904761904761</c:v>
                </c:pt>
                <c:pt idx="192">
                  <c:v>6.6985645933014301E-2</c:v>
                </c:pt>
                <c:pt idx="193">
                  <c:v>6.5693430656934296E-2</c:v>
                </c:pt>
                <c:pt idx="194">
                  <c:v>0.1163708086785</c:v>
                </c:pt>
                <c:pt idx="195">
                  <c:v>9.7087378640776698E-2</c:v>
                </c:pt>
                <c:pt idx="196">
                  <c:v>0.21266968325791799</c:v>
                </c:pt>
                <c:pt idx="197">
                  <c:v>-2.40963855421686E-2</c:v>
                </c:pt>
                <c:pt idx="198">
                  <c:v>0.14828897338402999</c:v>
                </c:pt>
                <c:pt idx="199">
                  <c:v>0.164383561643835</c:v>
                </c:pt>
                <c:pt idx="200">
                  <c:v>0.12802768166089901</c:v>
                </c:pt>
                <c:pt idx="201">
                  <c:v>-1.11731843575419E-2</c:v>
                </c:pt>
                <c:pt idx="202">
                  <c:v>0.18</c:v>
                </c:pt>
                <c:pt idx="203">
                  <c:v>0</c:v>
                </c:pt>
                <c:pt idx="204">
                  <c:v>0</c:v>
                </c:pt>
                <c:pt idx="205">
                  <c:v>1.5094339622641499E-2</c:v>
                </c:pt>
                <c:pt idx="206">
                  <c:v>3.24675324675324E-3</c:v>
                </c:pt>
                <c:pt idx="207">
                  <c:v>0.164874551971326</c:v>
                </c:pt>
                <c:pt idx="208">
                  <c:v>8.0357142857142794E-2</c:v>
                </c:pt>
                <c:pt idx="209">
                  <c:v>0.184275184275184</c:v>
                </c:pt>
                <c:pt idx="210">
                  <c:v>1.56599552572706E-2</c:v>
                </c:pt>
                <c:pt idx="211">
                  <c:v>0.12918660287081299</c:v>
                </c:pt>
                <c:pt idx="212">
                  <c:v>-4.6511627906976702E-2</c:v>
                </c:pt>
                <c:pt idx="213">
                  <c:v>0.104602510460251</c:v>
                </c:pt>
                <c:pt idx="214">
                  <c:v>0.225806451612903</c:v>
                </c:pt>
                <c:pt idx="215">
                  <c:v>0.12121212121212099</c:v>
                </c:pt>
                <c:pt idx="216">
                  <c:v>0.12765957446808501</c:v>
                </c:pt>
                <c:pt idx="217">
                  <c:v>0.238095238095238</c:v>
                </c:pt>
                <c:pt idx="218">
                  <c:v>0.12849162011173099</c:v>
                </c:pt>
                <c:pt idx="219">
                  <c:v>2.4390243902439001E-2</c:v>
                </c:pt>
                <c:pt idx="220">
                  <c:v>5.0108932461873597E-2</c:v>
                </c:pt>
                <c:pt idx="221">
                  <c:v>8.5889570552147201E-2</c:v>
                </c:pt>
                <c:pt idx="222">
                  <c:v>8.0797481636935994E-2</c:v>
                </c:pt>
                <c:pt idx="223">
                  <c:v>7.0572569906790894E-2</c:v>
                </c:pt>
                <c:pt idx="224">
                  <c:v>7.5880758807588003E-2</c:v>
                </c:pt>
                <c:pt idx="225">
                  <c:v>6.5217391304347797E-2</c:v>
                </c:pt>
                <c:pt idx="226">
                  <c:v>1.3215859030837E-2</c:v>
                </c:pt>
                <c:pt idx="227">
                  <c:v>0.14285714285714199</c:v>
                </c:pt>
                <c:pt idx="228">
                  <c:v>0.247524752475247</c:v>
                </c:pt>
                <c:pt idx="229">
                  <c:v>0.160714285714285</c:v>
                </c:pt>
                <c:pt idx="230">
                  <c:v>7.0063694267515894E-2</c:v>
                </c:pt>
                <c:pt idx="231">
                  <c:v>8.8669950738916203E-2</c:v>
                </c:pt>
                <c:pt idx="232">
                  <c:v>0.13114754098360601</c:v>
                </c:pt>
                <c:pt idx="233">
                  <c:v>7.9943899018232803E-2</c:v>
                </c:pt>
                <c:pt idx="234">
                  <c:v>9.41176470588235E-2</c:v>
                </c:pt>
                <c:pt idx="235">
                  <c:v>3.3057851239669402E-2</c:v>
                </c:pt>
                <c:pt idx="236">
                  <c:v>4.54545454545454E-2</c:v>
                </c:pt>
                <c:pt idx="237">
                  <c:v>4.2444821731748697E-2</c:v>
                </c:pt>
                <c:pt idx="238">
                  <c:v>7.7901430842607297E-2</c:v>
                </c:pt>
                <c:pt idx="239">
                  <c:v>0.23404255319148901</c:v>
                </c:pt>
                <c:pt idx="240">
                  <c:v>0.23728813559322001</c:v>
                </c:pt>
                <c:pt idx="241">
                  <c:v>8.1730769230769204E-2</c:v>
                </c:pt>
                <c:pt idx="242">
                  <c:v>0.15277777777777701</c:v>
                </c:pt>
                <c:pt idx="243">
                  <c:v>0.17241379310344801</c:v>
                </c:pt>
                <c:pt idx="244">
                  <c:v>0.10275689223057601</c:v>
                </c:pt>
                <c:pt idx="245">
                  <c:v>0.183585313174946</c:v>
                </c:pt>
                <c:pt idx="246">
                  <c:v>0.15183246073298401</c:v>
                </c:pt>
                <c:pt idx="247">
                  <c:v>4.0935672514619798E-2</c:v>
                </c:pt>
                <c:pt idx="248">
                  <c:v>0.122448979591836</c:v>
                </c:pt>
                <c:pt idx="249">
                  <c:v>0.225806451612903</c:v>
                </c:pt>
                <c:pt idx="250">
                  <c:v>0.20388349514563101</c:v>
                </c:pt>
                <c:pt idx="251">
                  <c:v>0.16129032258064499</c:v>
                </c:pt>
                <c:pt idx="252">
                  <c:v>0.19607843137254899</c:v>
                </c:pt>
                <c:pt idx="253">
                  <c:v>0.121495327102803</c:v>
                </c:pt>
                <c:pt idx="254">
                  <c:v>7.5376884422110504E-2</c:v>
                </c:pt>
                <c:pt idx="255">
                  <c:v>0.20152091254752799</c:v>
                </c:pt>
                <c:pt idx="256">
                  <c:v>0.123595505617977</c:v>
                </c:pt>
                <c:pt idx="257">
                  <c:v>9.8130841121495296E-2</c:v>
                </c:pt>
                <c:pt idx="258">
                  <c:v>0.103117505995203</c:v>
                </c:pt>
                <c:pt idx="259">
                  <c:v>9.68992248062015E-2</c:v>
                </c:pt>
                <c:pt idx="260">
                  <c:v>0.16008316008316001</c:v>
                </c:pt>
                <c:pt idx="261">
                  <c:v>0.19431279620853001</c:v>
                </c:pt>
                <c:pt idx="262">
                  <c:v>9.45945945945946E-2</c:v>
                </c:pt>
                <c:pt idx="263">
                  <c:v>0.16176470588235201</c:v>
                </c:pt>
                <c:pt idx="264">
                  <c:v>0.113043478260869</c:v>
                </c:pt>
                <c:pt idx="265">
                  <c:v>9.9264705882352894E-2</c:v>
                </c:pt>
                <c:pt idx="266">
                  <c:v>0.15223880597014899</c:v>
                </c:pt>
                <c:pt idx="267">
                  <c:v>0.30526315789473601</c:v>
                </c:pt>
                <c:pt idx="268">
                  <c:v>7.5718015665796307E-2</c:v>
                </c:pt>
                <c:pt idx="269">
                  <c:v>9.5541401273885301E-2</c:v>
                </c:pt>
                <c:pt idx="270">
                  <c:v>0.16831683168316799</c:v>
                </c:pt>
                <c:pt idx="271">
                  <c:v>0</c:v>
                </c:pt>
                <c:pt idx="272">
                  <c:v>0.11111111111111099</c:v>
                </c:pt>
                <c:pt idx="273">
                  <c:v>0.13368983957219199</c:v>
                </c:pt>
                <c:pt idx="274">
                  <c:v>8.3333333333333301E-2</c:v>
                </c:pt>
                <c:pt idx="275">
                  <c:v>7.3170731707316999E-2</c:v>
                </c:pt>
                <c:pt idx="276">
                  <c:v>0.175202156334231</c:v>
                </c:pt>
                <c:pt idx="277">
                  <c:v>7.5409836065573693E-2</c:v>
                </c:pt>
                <c:pt idx="278">
                  <c:v>0.17325227963525799</c:v>
                </c:pt>
                <c:pt idx="279">
                  <c:v>0.164948453608247</c:v>
                </c:pt>
                <c:pt idx="280">
                  <c:v>0.15830115830115801</c:v>
                </c:pt>
                <c:pt idx="281">
                  <c:v>0.12</c:v>
                </c:pt>
                <c:pt idx="282">
                  <c:v>6.1728395061728301E-2</c:v>
                </c:pt>
                <c:pt idx="283">
                  <c:v>0.15850144092219001</c:v>
                </c:pt>
                <c:pt idx="284">
                  <c:v>8.3969465648854894E-2</c:v>
                </c:pt>
                <c:pt idx="285">
                  <c:v>0.13043478260869501</c:v>
                </c:pt>
                <c:pt idx="286">
                  <c:v>0.14569536423841001</c:v>
                </c:pt>
                <c:pt idx="287">
                  <c:v>0.17460317460317401</c:v>
                </c:pt>
                <c:pt idx="288">
                  <c:v>0.123348017621145</c:v>
                </c:pt>
                <c:pt idx="289">
                  <c:v>9.2651757188498399E-2</c:v>
                </c:pt>
                <c:pt idx="290">
                  <c:v>0.203252032520325</c:v>
                </c:pt>
                <c:pt idx="291">
                  <c:v>0.137876386687797</c:v>
                </c:pt>
                <c:pt idx="292">
                  <c:v>-3.5087719298245598E-2</c:v>
                </c:pt>
                <c:pt idx="293">
                  <c:v>0.13157894736842099</c:v>
                </c:pt>
                <c:pt idx="294">
                  <c:v>0.17741935483870899</c:v>
                </c:pt>
                <c:pt idx="295">
                  <c:v>0.155131264916467</c:v>
                </c:pt>
                <c:pt idx="296">
                  <c:v>0.107438016528925</c:v>
                </c:pt>
                <c:pt idx="297">
                  <c:v>0.181102362204724</c:v>
                </c:pt>
                <c:pt idx="298">
                  <c:v>0.18666666666666601</c:v>
                </c:pt>
                <c:pt idx="299">
                  <c:v>0.11688311688311601</c:v>
                </c:pt>
                <c:pt idx="300">
                  <c:v>8.8235294117646995E-2</c:v>
                </c:pt>
                <c:pt idx="301">
                  <c:v>0.181347150259067</c:v>
                </c:pt>
                <c:pt idx="302">
                  <c:v>0.20476190476190401</c:v>
                </c:pt>
                <c:pt idx="303">
                  <c:v>0.17391304347826</c:v>
                </c:pt>
                <c:pt idx="304">
                  <c:v>0.104</c:v>
                </c:pt>
                <c:pt idx="305">
                  <c:v>9.5354523227383803E-2</c:v>
                </c:pt>
                <c:pt idx="306">
                  <c:v>0.14503816793893101</c:v>
                </c:pt>
                <c:pt idx="307">
                  <c:v>6.5573770491803199E-2</c:v>
                </c:pt>
                <c:pt idx="308">
                  <c:v>0.18947368421052599</c:v>
                </c:pt>
                <c:pt idx="309">
                  <c:v>0.128919860627177</c:v>
                </c:pt>
                <c:pt idx="310">
                  <c:v>0.154185022026431</c:v>
                </c:pt>
                <c:pt idx="311">
                  <c:v>0.154185022026431</c:v>
                </c:pt>
                <c:pt idx="312">
                  <c:v>0.10216718266253801</c:v>
                </c:pt>
                <c:pt idx="313">
                  <c:v>-1.00334448160535E-2</c:v>
                </c:pt>
                <c:pt idx="314">
                  <c:v>4.3956043956043897E-2</c:v>
                </c:pt>
                <c:pt idx="315">
                  <c:v>0.13479623824451401</c:v>
                </c:pt>
                <c:pt idx="316">
                  <c:v>0.10280373831775701</c:v>
                </c:pt>
                <c:pt idx="317">
                  <c:v>0.149700598802395</c:v>
                </c:pt>
                <c:pt idx="318">
                  <c:v>0.134146341463414</c:v>
                </c:pt>
                <c:pt idx="319">
                  <c:v>9.7560975609756101E-2</c:v>
                </c:pt>
                <c:pt idx="320">
                  <c:v>0.13153153153153099</c:v>
                </c:pt>
                <c:pt idx="321">
                  <c:v>0.18181818181818099</c:v>
                </c:pt>
                <c:pt idx="322">
                  <c:v>9.85915492957746E-2</c:v>
                </c:pt>
                <c:pt idx="323">
                  <c:v>9.5238095238095205E-2</c:v>
                </c:pt>
                <c:pt idx="324">
                  <c:v>0.168831168831168</c:v>
                </c:pt>
                <c:pt idx="325">
                  <c:v>0.108786610878661</c:v>
                </c:pt>
                <c:pt idx="326">
                  <c:v>0.103969754253308</c:v>
                </c:pt>
                <c:pt idx="327">
                  <c:v>7.2681704260651597E-2</c:v>
                </c:pt>
                <c:pt idx="328">
                  <c:v>5.6521739130434699E-2</c:v>
                </c:pt>
                <c:pt idx="329">
                  <c:v>6.9408740359897095E-2</c:v>
                </c:pt>
                <c:pt idx="330">
                  <c:v>5.7503506311360399E-2</c:v>
                </c:pt>
                <c:pt idx="331">
                  <c:v>7.2164948453608199E-2</c:v>
                </c:pt>
                <c:pt idx="332">
                  <c:v>7.7205882352941096E-2</c:v>
                </c:pt>
                <c:pt idx="333">
                  <c:v>0.171171171171171</c:v>
                </c:pt>
                <c:pt idx="334">
                  <c:v>0.12065439672801601</c:v>
                </c:pt>
                <c:pt idx="335">
                  <c:v>0.116666666666666</c:v>
                </c:pt>
                <c:pt idx="336">
                  <c:v>0.25396825396825301</c:v>
                </c:pt>
                <c:pt idx="337">
                  <c:v>0.128983308042488</c:v>
                </c:pt>
                <c:pt idx="338">
                  <c:v>-5.4644808743169399E-3</c:v>
                </c:pt>
                <c:pt idx="339">
                  <c:v>0.35714285714285698</c:v>
                </c:pt>
                <c:pt idx="340">
                  <c:v>0.194029850746268</c:v>
                </c:pt>
                <c:pt idx="341">
                  <c:v>1.9252548131370301E-2</c:v>
                </c:pt>
                <c:pt idx="342">
                  <c:v>0.12301013024602001</c:v>
                </c:pt>
                <c:pt idx="343">
                  <c:v>0.12301013024602001</c:v>
                </c:pt>
                <c:pt idx="344">
                  <c:v>0.12301013024602001</c:v>
                </c:pt>
                <c:pt idx="345">
                  <c:v>0.144859813084112</c:v>
                </c:pt>
                <c:pt idx="346">
                  <c:v>0.11340206185567001</c:v>
                </c:pt>
                <c:pt idx="347">
                  <c:v>4.8780487804878002E-2</c:v>
                </c:pt>
                <c:pt idx="348">
                  <c:v>-6.8027210884353704E-3</c:v>
                </c:pt>
                <c:pt idx="349">
                  <c:v>0.141762452107279</c:v>
                </c:pt>
                <c:pt idx="350">
                  <c:v>0.114814814814814</c:v>
                </c:pt>
                <c:pt idx="351">
                  <c:v>0.144508670520231</c:v>
                </c:pt>
                <c:pt idx="352">
                  <c:v>0.16498316498316401</c:v>
                </c:pt>
                <c:pt idx="353">
                  <c:v>0.18787878787878701</c:v>
                </c:pt>
                <c:pt idx="354">
                  <c:v>0.157894736842105</c:v>
                </c:pt>
                <c:pt idx="355">
                  <c:v>0.22727272727272699</c:v>
                </c:pt>
                <c:pt idx="356">
                  <c:v>7.9365079365079305E-2</c:v>
                </c:pt>
                <c:pt idx="357">
                  <c:v>4.1450777202072499E-2</c:v>
                </c:pt>
                <c:pt idx="358">
                  <c:v>0.194139194139194</c:v>
                </c:pt>
                <c:pt idx="359">
                  <c:v>0.18518518518518501</c:v>
                </c:pt>
                <c:pt idx="360">
                  <c:v>9.0909090909090898E-2</c:v>
                </c:pt>
                <c:pt idx="361">
                  <c:v>5.3333333333333302E-2</c:v>
                </c:pt>
                <c:pt idx="362">
                  <c:v>0.15384615384615299</c:v>
                </c:pt>
                <c:pt idx="363">
                  <c:v>0.113043478260869</c:v>
                </c:pt>
                <c:pt idx="364">
                  <c:v>0.15172413793103401</c:v>
                </c:pt>
                <c:pt idx="365">
                  <c:v>0.10294117647058799</c:v>
                </c:pt>
                <c:pt idx="366">
                  <c:v>0.223529411764705</c:v>
                </c:pt>
                <c:pt idx="367">
                  <c:v>9.9173553719008198E-2</c:v>
                </c:pt>
                <c:pt idx="368">
                  <c:v>0.15151515151515099</c:v>
                </c:pt>
                <c:pt idx="369">
                  <c:v>0.14490161001788901</c:v>
                </c:pt>
                <c:pt idx="370">
                  <c:v>0.18032786885245899</c:v>
                </c:pt>
                <c:pt idx="371">
                  <c:v>-1.53846153846153E-2</c:v>
                </c:pt>
                <c:pt idx="372">
                  <c:v>8.9316987740805598E-2</c:v>
                </c:pt>
                <c:pt idx="373">
                  <c:v>0.17647058823529399</c:v>
                </c:pt>
                <c:pt idx="374">
                  <c:v>0.16049382716049301</c:v>
                </c:pt>
                <c:pt idx="375">
                  <c:v>0.13766233766233699</c:v>
                </c:pt>
                <c:pt idx="376">
                  <c:v>3.125E-2</c:v>
                </c:pt>
                <c:pt idx="377">
                  <c:v>0.25179856115107901</c:v>
                </c:pt>
                <c:pt idx="378">
                  <c:v>0.16847826086956499</c:v>
                </c:pt>
                <c:pt idx="379">
                  <c:v>0.13099041533546299</c:v>
                </c:pt>
                <c:pt idx="380">
                  <c:v>0.139130434782608</c:v>
                </c:pt>
                <c:pt idx="381">
                  <c:v>0.133333333333333</c:v>
                </c:pt>
                <c:pt idx="382">
                  <c:v>0.17253521126760499</c:v>
                </c:pt>
                <c:pt idx="383">
                  <c:v>0.15025906735751199</c:v>
                </c:pt>
                <c:pt idx="384">
                  <c:v>9.7949886104783598E-2</c:v>
                </c:pt>
                <c:pt idx="385">
                  <c:v>0.17868338557993699</c:v>
                </c:pt>
                <c:pt idx="386">
                  <c:v>1.01694915254237E-2</c:v>
                </c:pt>
                <c:pt idx="387">
                  <c:v>0.11340206185567001</c:v>
                </c:pt>
                <c:pt idx="388">
                  <c:v>0.106870229007633</c:v>
                </c:pt>
                <c:pt idx="389">
                  <c:v>0.15440115440115401</c:v>
                </c:pt>
                <c:pt idx="390">
                  <c:v>0.146341463414634</c:v>
                </c:pt>
                <c:pt idx="391">
                  <c:v>0.167701863354037</c:v>
                </c:pt>
                <c:pt idx="392">
                  <c:v>0.16637478108581399</c:v>
                </c:pt>
                <c:pt idx="393">
                  <c:v>0.109311740890688</c:v>
                </c:pt>
                <c:pt idx="394">
                  <c:v>0.131914893617021</c:v>
                </c:pt>
                <c:pt idx="395">
                  <c:v>0.113043478260869</c:v>
                </c:pt>
                <c:pt idx="396">
                  <c:v>0.154471544715447</c:v>
                </c:pt>
                <c:pt idx="397">
                  <c:v>0.13533834586466101</c:v>
                </c:pt>
                <c:pt idx="398">
                  <c:v>0.15409836065573701</c:v>
                </c:pt>
                <c:pt idx="399">
                  <c:v>0.112582781456953</c:v>
                </c:pt>
                <c:pt idx="400">
                  <c:v>0.13131313131313099</c:v>
                </c:pt>
                <c:pt idx="401">
                  <c:v>9.4202898550724598E-2</c:v>
                </c:pt>
                <c:pt idx="402">
                  <c:v>5.3846153846153801E-2</c:v>
                </c:pt>
                <c:pt idx="403">
                  <c:v>0.1875</c:v>
                </c:pt>
                <c:pt idx="404">
                  <c:v>7.0000000000000007E-2</c:v>
                </c:pt>
                <c:pt idx="405">
                  <c:v>0.103678929765886</c:v>
                </c:pt>
                <c:pt idx="406">
                  <c:v>0.15697674418604601</c:v>
                </c:pt>
                <c:pt idx="407">
                  <c:v>0.15384615384615299</c:v>
                </c:pt>
                <c:pt idx="408">
                  <c:v>0.11111111111111099</c:v>
                </c:pt>
                <c:pt idx="409">
                  <c:v>0.101851851851851</c:v>
                </c:pt>
                <c:pt idx="410">
                  <c:v>8.1761006289308102E-2</c:v>
                </c:pt>
                <c:pt idx="411">
                  <c:v>0.114583333333333</c:v>
                </c:pt>
                <c:pt idx="412">
                  <c:v>0.16211878009630801</c:v>
                </c:pt>
                <c:pt idx="413">
                  <c:v>6.1290322580645103E-2</c:v>
                </c:pt>
                <c:pt idx="414">
                  <c:v>3.1802120141342698E-2</c:v>
                </c:pt>
                <c:pt idx="415">
                  <c:v>0.182389937106918</c:v>
                </c:pt>
                <c:pt idx="416">
                  <c:v>0.113924050632911</c:v>
                </c:pt>
                <c:pt idx="417">
                  <c:v>0.16923076923076899</c:v>
                </c:pt>
                <c:pt idx="418">
                  <c:v>6.6298342541436406E-2</c:v>
                </c:pt>
                <c:pt idx="419">
                  <c:v>0.162907268170426</c:v>
                </c:pt>
                <c:pt idx="420">
                  <c:v>0.110132158590308</c:v>
                </c:pt>
                <c:pt idx="421">
                  <c:v>0.23076923076923</c:v>
                </c:pt>
                <c:pt idx="422">
                  <c:v>6.7010309278350499E-2</c:v>
                </c:pt>
                <c:pt idx="423">
                  <c:v>0.12707182320441901</c:v>
                </c:pt>
                <c:pt idx="424">
                  <c:v>0.10603588907014599</c:v>
                </c:pt>
                <c:pt idx="425">
                  <c:v>0.13357400722021601</c:v>
                </c:pt>
                <c:pt idx="426">
                  <c:v>2.8368794326241099E-2</c:v>
                </c:pt>
                <c:pt idx="427">
                  <c:v>4.9429657794676798E-2</c:v>
                </c:pt>
                <c:pt idx="428">
                  <c:v>1.9607843137254902E-2</c:v>
                </c:pt>
                <c:pt idx="429">
                  <c:v>8.7301587301587297E-2</c:v>
                </c:pt>
                <c:pt idx="430">
                  <c:v>4.5643153526970903E-2</c:v>
                </c:pt>
                <c:pt idx="431">
                  <c:v>0.13026052104208399</c:v>
                </c:pt>
                <c:pt idx="432">
                  <c:v>9.85915492957746E-2</c:v>
                </c:pt>
                <c:pt idx="433">
                  <c:v>0.10024449877750601</c:v>
                </c:pt>
                <c:pt idx="434">
                  <c:v>0.165562913907284</c:v>
                </c:pt>
                <c:pt idx="435">
                  <c:v>0.138211382113821</c:v>
                </c:pt>
                <c:pt idx="436">
                  <c:v>7.0422535211267595E-2</c:v>
                </c:pt>
                <c:pt idx="437">
                  <c:v>0.12041884816753901</c:v>
                </c:pt>
                <c:pt idx="438">
                  <c:v>-5.0359712230215799E-2</c:v>
                </c:pt>
                <c:pt idx="439">
                  <c:v>0.13080168776371301</c:v>
                </c:pt>
                <c:pt idx="440">
                  <c:v>9.5541401273885301E-2</c:v>
                </c:pt>
                <c:pt idx="441">
                  <c:v>9.5541401273885301E-2</c:v>
                </c:pt>
                <c:pt idx="442">
                  <c:v>0.16062176165803099</c:v>
                </c:pt>
                <c:pt idx="443">
                  <c:v>0.123867069486404</c:v>
                </c:pt>
                <c:pt idx="444">
                  <c:v>7.7464788732394305E-2</c:v>
                </c:pt>
                <c:pt idx="445">
                  <c:v>0.12935323383084499</c:v>
                </c:pt>
                <c:pt idx="446">
                  <c:v>0.10485933503836301</c:v>
                </c:pt>
                <c:pt idx="447">
                  <c:v>0.102702702702702</c:v>
                </c:pt>
                <c:pt idx="448">
                  <c:v>0.12918660287081299</c:v>
                </c:pt>
                <c:pt idx="449">
                  <c:v>0.17382413087934501</c:v>
                </c:pt>
                <c:pt idx="450">
                  <c:v>0.225806451612903</c:v>
                </c:pt>
                <c:pt idx="451">
                  <c:v>0.17086834733893499</c:v>
                </c:pt>
                <c:pt idx="452">
                  <c:v>0.126550868486352</c:v>
                </c:pt>
                <c:pt idx="453">
                  <c:v>0.124060150375939</c:v>
                </c:pt>
                <c:pt idx="454">
                  <c:v>0.124060150375939</c:v>
                </c:pt>
                <c:pt idx="455">
                  <c:v>1.9753086419752999E-2</c:v>
                </c:pt>
                <c:pt idx="456">
                  <c:v>1.9753086419752999E-2</c:v>
                </c:pt>
                <c:pt idx="457">
                  <c:v>1.9753086419752999E-2</c:v>
                </c:pt>
                <c:pt idx="458">
                  <c:v>7.8189300411522597E-2</c:v>
                </c:pt>
                <c:pt idx="459">
                  <c:v>6.9930069930069904E-3</c:v>
                </c:pt>
                <c:pt idx="460">
                  <c:v>0.126436781609195</c:v>
                </c:pt>
                <c:pt idx="461">
                  <c:v>7.0539419087136901E-2</c:v>
                </c:pt>
                <c:pt idx="462">
                  <c:v>0.182608695652173</c:v>
                </c:pt>
                <c:pt idx="463">
                  <c:v>0.13004484304932701</c:v>
                </c:pt>
                <c:pt idx="464">
                  <c:v>0.16666666666666599</c:v>
                </c:pt>
                <c:pt idx="465">
                  <c:v>8.3333333333333301E-2</c:v>
                </c:pt>
                <c:pt idx="466">
                  <c:v>0.16256157635467899</c:v>
                </c:pt>
                <c:pt idx="467">
                  <c:v>4.2145593869731802E-2</c:v>
                </c:pt>
                <c:pt idx="468">
                  <c:v>9.6885813148788899E-2</c:v>
                </c:pt>
                <c:pt idx="469">
                  <c:v>0.166253101736972</c:v>
                </c:pt>
                <c:pt idx="470">
                  <c:v>0.15217391304347799</c:v>
                </c:pt>
                <c:pt idx="471">
                  <c:v>0.155963302752293</c:v>
                </c:pt>
                <c:pt idx="472">
                  <c:v>0.14606741573033699</c:v>
                </c:pt>
                <c:pt idx="473">
                  <c:v>0.124463519313304</c:v>
                </c:pt>
                <c:pt idx="474">
                  <c:v>0.107344632768361</c:v>
                </c:pt>
                <c:pt idx="475">
                  <c:v>0.183673469387755</c:v>
                </c:pt>
                <c:pt idx="476">
                  <c:v>0.102608695652173</c:v>
                </c:pt>
                <c:pt idx="477">
                  <c:v>0.04</c:v>
                </c:pt>
                <c:pt idx="478">
                  <c:v>0.16384180790960401</c:v>
                </c:pt>
                <c:pt idx="479">
                  <c:v>9.5189355168884299E-2</c:v>
                </c:pt>
                <c:pt idx="480">
                  <c:v>0.123893805309734</c:v>
                </c:pt>
                <c:pt idx="481">
                  <c:v>0.27868852459016302</c:v>
                </c:pt>
                <c:pt idx="482">
                  <c:v>7.5630252100840303E-2</c:v>
                </c:pt>
                <c:pt idx="483">
                  <c:v>9.6296296296296297E-2</c:v>
                </c:pt>
                <c:pt idx="484">
                  <c:v>0.24242424242424199</c:v>
                </c:pt>
                <c:pt idx="485">
                  <c:v>0.13294797687861201</c:v>
                </c:pt>
                <c:pt idx="486">
                  <c:v>0.155698234349919</c:v>
                </c:pt>
                <c:pt idx="487">
                  <c:v>0.12554112554112501</c:v>
                </c:pt>
                <c:pt idx="488">
                  <c:v>0.16666666666666599</c:v>
                </c:pt>
                <c:pt idx="489">
                  <c:v>4.8387096774193498E-2</c:v>
                </c:pt>
                <c:pt idx="490">
                  <c:v>9.6952908587257594E-2</c:v>
                </c:pt>
                <c:pt idx="491">
                  <c:v>0.13380281690140799</c:v>
                </c:pt>
                <c:pt idx="492">
                  <c:v>0.124324324324324</c:v>
                </c:pt>
                <c:pt idx="493">
                  <c:v>0.13807531380753099</c:v>
                </c:pt>
                <c:pt idx="494">
                  <c:v>7.7419354838709598E-2</c:v>
                </c:pt>
                <c:pt idx="495">
                  <c:v>2.81124497991967E-2</c:v>
                </c:pt>
                <c:pt idx="496">
                  <c:v>9.75056689342403E-2</c:v>
                </c:pt>
                <c:pt idx="497">
                  <c:v>0.12463768115942001</c:v>
                </c:pt>
                <c:pt idx="498">
                  <c:v>0.14808652246256199</c:v>
                </c:pt>
                <c:pt idx="499">
                  <c:v>0.106463878326996</c:v>
                </c:pt>
                <c:pt idx="500">
                  <c:v>0.140151515151515</c:v>
                </c:pt>
                <c:pt idx="501">
                  <c:v>0.08</c:v>
                </c:pt>
                <c:pt idx="502">
                  <c:v>0.125373134328358</c:v>
                </c:pt>
                <c:pt idx="503">
                  <c:v>0.125373134328358</c:v>
                </c:pt>
                <c:pt idx="504">
                  <c:v>0.13596491228070101</c:v>
                </c:pt>
                <c:pt idx="505">
                  <c:v>4.5871559633027498E-2</c:v>
                </c:pt>
                <c:pt idx="506">
                  <c:v>9.6000000000000002E-2</c:v>
                </c:pt>
                <c:pt idx="507">
                  <c:v>0.109947643979057</c:v>
                </c:pt>
                <c:pt idx="508">
                  <c:v>0.11943793911007</c:v>
                </c:pt>
                <c:pt idx="509">
                  <c:v>1.1406844106463801E-2</c:v>
                </c:pt>
                <c:pt idx="510">
                  <c:v>0.10497237569060699</c:v>
                </c:pt>
                <c:pt idx="511">
                  <c:v>0.17318435754189901</c:v>
                </c:pt>
                <c:pt idx="512">
                  <c:v>1.7094017094016999E-2</c:v>
                </c:pt>
                <c:pt idx="513">
                  <c:v>0.18</c:v>
                </c:pt>
                <c:pt idx="514">
                  <c:v>0.128099173553719</c:v>
                </c:pt>
                <c:pt idx="515">
                  <c:v>8.0779944289693595E-2</c:v>
                </c:pt>
                <c:pt idx="516">
                  <c:v>0</c:v>
                </c:pt>
                <c:pt idx="517">
                  <c:v>3.2608695652173898E-2</c:v>
                </c:pt>
                <c:pt idx="518">
                  <c:v>7.5892857142857095E-2</c:v>
                </c:pt>
                <c:pt idx="519">
                  <c:v>0.14150943396226401</c:v>
                </c:pt>
                <c:pt idx="520">
                  <c:v>0.1875</c:v>
                </c:pt>
                <c:pt idx="521">
                  <c:v>0.16049382716049301</c:v>
                </c:pt>
                <c:pt idx="522">
                  <c:v>0.201465201465201</c:v>
                </c:pt>
                <c:pt idx="523">
                  <c:v>0.18688524590163899</c:v>
                </c:pt>
                <c:pt idx="524">
                  <c:v>0.117924528301886</c:v>
                </c:pt>
                <c:pt idx="525">
                  <c:v>6.5719360568383595E-2</c:v>
                </c:pt>
                <c:pt idx="526">
                  <c:v>3.2755298651252401E-2</c:v>
                </c:pt>
                <c:pt idx="527">
                  <c:v>0.18264840182648401</c:v>
                </c:pt>
                <c:pt idx="528">
                  <c:v>0.103139013452914</c:v>
                </c:pt>
                <c:pt idx="529">
                  <c:v>0.138381201044386</c:v>
                </c:pt>
                <c:pt idx="530">
                  <c:v>4.4917257683215098E-2</c:v>
                </c:pt>
                <c:pt idx="531">
                  <c:v>1.54798761609907E-2</c:v>
                </c:pt>
                <c:pt idx="532">
                  <c:v>0.13407821229050201</c:v>
                </c:pt>
                <c:pt idx="533">
                  <c:v>0.13407821229050201</c:v>
                </c:pt>
                <c:pt idx="534">
                  <c:v>0.13407821229050201</c:v>
                </c:pt>
                <c:pt idx="535">
                  <c:v>0.13407821229050201</c:v>
                </c:pt>
                <c:pt idx="536">
                  <c:v>7.4074074074074001E-2</c:v>
                </c:pt>
                <c:pt idx="537">
                  <c:v>6.6666666666666596E-2</c:v>
                </c:pt>
                <c:pt idx="538">
                  <c:v>3.1775700934579397E-2</c:v>
                </c:pt>
                <c:pt idx="539">
                  <c:v>9.8214285714285698E-2</c:v>
                </c:pt>
                <c:pt idx="540">
                  <c:v>8.0808080808080801E-2</c:v>
                </c:pt>
                <c:pt idx="541">
                  <c:v>-5.2208835341365403E-2</c:v>
                </c:pt>
                <c:pt idx="542">
                  <c:v>3.8793103448275801E-2</c:v>
                </c:pt>
                <c:pt idx="543">
                  <c:v>5.7377049180327801E-2</c:v>
                </c:pt>
                <c:pt idx="544">
                  <c:v>8.3798882681564199E-2</c:v>
                </c:pt>
                <c:pt idx="545">
                  <c:v>4.1958041958041897E-2</c:v>
                </c:pt>
                <c:pt idx="546">
                  <c:v>5.23560209424083E-2</c:v>
                </c:pt>
                <c:pt idx="547">
                  <c:v>0.138461538461538</c:v>
                </c:pt>
                <c:pt idx="548">
                  <c:v>9.2198581560283599E-2</c:v>
                </c:pt>
                <c:pt idx="549">
                  <c:v>0.130136986301369</c:v>
                </c:pt>
                <c:pt idx="550">
                  <c:v>0.157894736842105</c:v>
                </c:pt>
                <c:pt idx="551">
                  <c:v>0.19721577726218001</c:v>
                </c:pt>
                <c:pt idx="552">
                  <c:v>2.11640211640211E-2</c:v>
                </c:pt>
                <c:pt idx="553">
                  <c:v>0.20895522388059701</c:v>
                </c:pt>
                <c:pt idx="554">
                  <c:v>9.1066782307025099E-2</c:v>
                </c:pt>
                <c:pt idx="555">
                  <c:v>0.19047619047618999</c:v>
                </c:pt>
                <c:pt idx="556">
                  <c:v>5.4545454545454501E-2</c:v>
                </c:pt>
                <c:pt idx="557">
                  <c:v>8.3932853717026301E-2</c:v>
                </c:pt>
                <c:pt idx="558">
                  <c:v>5.6057866184448399E-2</c:v>
                </c:pt>
                <c:pt idx="559">
                  <c:v>0.17171717171717099</c:v>
                </c:pt>
                <c:pt idx="560">
                  <c:v>0.154471544715447</c:v>
                </c:pt>
                <c:pt idx="561">
                  <c:v>0.190243902439024</c:v>
                </c:pt>
                <c:pt idx="562">
                  <c:v>1.9607843137254902E-2</c:v>
                </c:pt>
                <c:pt idx="563">
                  <c:v>0.13142857142857101</c:v>
                </c:pt>
                <c:pt idx="564">
                  <c:v>0.116504854368932</c:v>
                </c:pt>
                <c:pt idx="565">
                  <c:v>5.7692307692307598E-2</c:v>
                </c:pt>
                <c:pt idx="566">
                  <c:v>9.0439276485788103E-2</c:v>
                </c:pt>
                <c:pt idx="567">
                  <c:v>0.114754098360655</c:v>
                </c:pt>
                <c:pt idx="568">
                  <c:v>0.11111111111111099</c:v>
                </c:pt>
                <c:pt idx="569">
                  <c:v>8.0906148867313898E-2</c:v>
                </c:pt>
                <c:pt idx="570">
                  <c:v>4.40677966101694E-2</c:v>
                </c:pt>
                <c:pt idx="571">
                  <c:v>8.9743589743589702E-2</c:v>
                </c:pt>
                <c:pt idx="572">
                  <c:v>9.6188747731397406E-2</c:v>
                </c:pt>
                <c:pt idx="573">
                  <c:v>0.16279069767441801</c:v>
                </c:pt>
                <c:pt idx="574">
                  <c:v>0.109243697478991</c:v>
                </c:pt>
                <c:pt idx="575">
                  <c:v>6.0465116279069697E-2</c:v>
                </c:pt>
                <c:pt idx="576">
                  <c:v>5.9701492537313397E-2</c:v>
                </c:pt>
                <c:pt idx="577">
                  <c:v>0.13173652694610699</c:v>
                </c:pt>
                <c:pt idx="578">
                  <c:v>0.122362869198312</c:v>
                </c:pt>
                <c:pt idx="579">
                  <c:v>-3.7735849056603703E-2</c:v>
                </c:pt>
                <c:pt idx="580">
                  <c:v>0.17647058823529399</c:v>
                </c:pt>
                <c:pt idx="581">
                  <c:v>0.221052631578947</c:v>
                </c:pt>
                <c:pt idx="582">
                  <c:v>9.9236641221374003E-2</c:v>
                </c:pt>
                <c:pt idx="583">
                  <c:v>0</c:v>
                </c:pt>
                <c:pt idx="584">
                  <c:v>0.15044247787610601</c:v>
                </c:pt>
                <c:pt idx="585">
                  <c:v>0.10683012259194299</c:v>
                </c:pt>
                <c:pt idx="586">
                  <c:v>0.134615384615384</c:v>
                </c:pt>
                <c:pt idx="587">
                  <c:v>0.205673758865248</c:v>
                </c:pt>
                <c:pt idx="588">
                  <c:v>8.5714285714285701E-2</c:v>
                </c:pt>
                <c:pt idx="589">
                  <c:v>2.14797136038186E-2</c:v>
                </c:pt>
                <c:pt idx="590">
                  <c:v>0.110576923076923</c:v>
                </c:pt>
                <c:pt idx="591">
                  <c:v>0.13868613138686101</c:v>
                </c:pt>
                <c:pt idx="592">
                  <c:v>8.4832904884318702E-2</c:v>
                </c:pt>
                <c:pt idx="593">
                  <c:v>5.5045871559633003E-2</c:v>
                </c:pt>
                <c:pt idx="594">
                  <c:v>3.5714285714285698E-2</c:v>
                </c:pt>
                <c:pt idx="595">
                  <c:v>0.15183246073298401</c:v>
                </c:pt>
                <c:pt idx="596">
                  <c:v>7.3253833049403694E-2</c:v>
                </c:pt>
                <c:pt idx="597">
                  <c:v>3.6303630363036299E-2</c:v>
                </c:pt>
                <c:pt idx="598">
                  <c:v>7.5630252100840303E-2</c:v>
                </c:pt>
                <c:pt idx="599">
                  <c:v>2.16718266253869E-2</c:v>
                </c:pt>
                <c:pt idx="600">
                  <c:v>0.136563876651982</c:v>
                </c:pt>
                <c:pt idx="601">
                  <c:v>-2.8169014084507001E-2</c:v>
                </c:pt>
                <c:pt idx="602">
                  <c:v>0.144508670520231</c:v>
                </c:pt>
                <c:pt idx="603">
                  <c:v>0.11111111111111099</c:v>
                </c:pt>
                <c:pt idx="604">
                  <c:v>0.14049586776859499</c:v>
                </c:pt>
                <c:pt idx="605">
                  <c:v>0.126550868486352</c:v>
                </c:pt>
                <c:pt idx="606">
                  <c:v>7.25075528700906E-2</c:v>
                </c:pt>
                <c:pt idx="607">
                  <c:v>4.6153846153846101E-2</c:v>
                </c:pt>
                <c:pt idx="608">
                  <c:v>0.13450292397660801</c:v>
                </c:pt>
                <c:pt idx="609">
                  <c:v>0.26315789473684198</c:v>
                </c:pt>
                <c:pt idx="610">
                  <c:v>0.152</c:v>
                </c:pt>
                <c:pt idx="611">
                  <c:v>0.122340425531914</c:v>
                </c:pt>
                <c:pt idx="612">
                  <c:v>5.16431924882629E-2</c:v>
                </c:pt>
                <c:pt idx="613">
                  <c:v>0.11870503597122301</c:v>
                </c:pt>
                <c:pt idx="614">
                  <c:v>0.162650602409638</c:v>
                </c:pt>
                <c:pt idx="615">
                  <c:v>0.11111111111111099</c:v>
                </c:pt>
                <c:pt idx="616">
                  <c:v>0.14893617021276501</c:v>
                </c:pt>
                <c:pt idx="617">
                  <c:v>-8.4889643463497404E-3</c:v>
                </c:pt>
                <c:pt idx="618">
                  <c:v>1.54277699859747E-2</c:v>
                </c:pt>
                <c:pt idx="619">
                  <c:v>6.0439560439560398E-2</c:v>
                </c:pt>
                <c:pt idx="620">
                  <c:v>8.3333333333333301E-2</c:v>
                </c:pt>
                <c:pt idx="621">
                  <c:v>-1.13895216400911E-2</c:v>
                </c:pt>
                <c:pt idx="622">
                  <c:v>0.134328358208955</c:v>
                </c:pt>
                <c:pt idx="623">
                  <c:v>-6.4935064935064896E-3</c:v>
                </c:pt>
                <c:pt idx="624">
                  <c:v>0.107692307692307</c:v>
                </c:pt>
                <c:pt idx="625">
                  <c:v>0.168421052631578</c:v>
                </c:pt>
                <c:pt idx="626">
                  <c:v>0.124378109452736</c:v>
                </c:pt>
                <c:pt idx="627">
                  <c:v>9.4170403587443899E-2</c:v>
                </c:pt>
                <c:pt idx="628">
                  <c:v>9.5477386934673295E-2</c:v>
                </c:pt>
                <c:pt idx="629">
                  <c:v>0.14285714285714199</c:v>
                </c:pt>
                <c:pt idx="630">
                  <c:v>8.4084084084083993E-2</c:v>
                </c:pt>
                <c:pt idx="631">
                  <c:v>0.14285714285714199</c:v>
                </c:pt>
                <c:pt idx="632">
                  <c:v>9.9476439790575896E-2</c:v>
                </c:pt>
                <c:pt idx="633">
                  <c:v>0.146757679180887</c:v>
                </c:pt>
                <c:pt idx="634">
                  <c:v>0.105308964316797</c:v>
                </c:pt>
                <c:pt idx="635">
                  <c:v>0.14754098360655701</c:v>
                </c:pt>
                <c:pt idx="636">
                  <c:v>0.14792899408283999</c:v>
                </c:pt>
                <c:pt idx="637">
                  <c:v>0.155555555555555</c:v>
                </c:pt>
                <c:pt idx="638">
                  <c:v>-6.0606060606060597E-3</c:v>
                </c:pt>
                <c:pt idx="639">
                  <c:v>-4.4444444444444398E-2</c:v>
                </c:pt>
                <c:pt idx="640">
                  <c:v>0.123287671232876</c:v>
                </c:pt>
                <c:pt idx="641">
                  <c:v>0.207243460764587</c:v>
                </c:pt>
                <c:pt idx="642">
                  <c:v>9.375E-2</c:v>
                </c:pt>
                <c:pt idx="643">
                  <c:v>6.1452513966480403E-2</c:v>
                </c:pt>
                <c:pt idx="644">
                  <c:v>7.6620825147347693E-2</c:v>
                </c:pt>
                <c:pt idx="645">
                  <c:v>3.3033033033033003E-2</c:v>
                </c:pt>
                <c:pt idx="646">
                  <c:v>-6.13496932515337E-2</c:v>
                </c:pt>
                <c:pt idx="647">
                  <c:v>7.9754601226993793E-2</c:v>
                </c:pt>
                <c:pt idx="648">
                  <c:v>-1.0526315789473601E-2</c:v>
                </c:pt>
                <c:pt idx="649">
                  <c:v>0.11062906724511901</c:v>
                </c:pt>
                <c:pt idx="650">
                  <c:v>0.25</c:v>
                </c:pt>
                <c:pt idx="651">
                  <c:v>0.144414168937329</c:v>
                </c:pt>
                <c:pt idx="652">
                  <c:v>0.111853088480801</c:v>
                </c:pt>
                <c:pt idx="653">
                  <c:v>0.104477611940298</c:v>
                </c:pt>
                <c:pt idx="654">
                  <c:v>0.104761904761904</c:v>
                </c:pt>
                <c:pt idx="655">
                  <c:v>8.1723625557206497E-2</c:v>
                </c:pt>
                <c:pt idx="656">
                  <c:v>8.4832904884318702E-2</c:v>
                </c:pt>
                <c:pt idx="657">
                  <c:v>1.0869565217391301E-2</c:v>
                </c:pt>
                <c:pt idx="658">
                  <c:v>8.8607594936708806E-2</c:v>
                </c:pt>
                <c:pt idx="659">
                  <c:v>0.146788990825688</c:v>
                </c:pt>
                <c:pt idx="660">
                  <c:v>5.9936908517350097E-2</c:v>
                </c:pt>
                <c:pt idx="661">
                  <c:v>0.12582781456953601</c:v>
                </c:pt>
                <c:pt idx="662">
                  <c:v>3.6777583187390502E-2</c:v>
                </c:pt>
                <c:pt idx="663">
                  <c:v>6.3414634146341395E-2</c:v>
                </c:pt>
                <c:pt idx="664">
                  <c:v>0.12676056338028099</c:v>
                </c:pt>
                <c:pt idx="665">
                  <c:v>3.6241610738254999E-2</c:v>
                </c:pt>
                <c:pt idx="666">
                  <c:v>2.3411371237458099E-2</c:v>
                </c:pt>
                <c:pt idx="667">
                  <c:v>0.13457556935817799</c:v>
                </c:pt>
                <c:pt idx="668">
                  <c:v>0.134466769706336</c:v>
                </c:pt>
                <c:pt idx="669">
                  <c:v>1.7064846416382201E-2</c:v>
                </c:pt>
                <c:pt idx="670">
                  <c:v>3.4482758620689599E-2</c:v>
                </c:pt>
                <c:pt idx="671">
                  <c:v>7.6023391812865396E-2</c:v>
                </c:pt>
                <c:pt idx="672">
                  <c:v>0.22641509433962201</c:v>
                </c:pt>
                <c:pt idx="673">
                  <c:v>8.4468664850136196E-2</c:v>
                </c:pt>
                <c:pt idx="674">
                  <c:v>0.141463414634146</c:v>
                </c:pt>
                <c:pt idx="675">
                  <c:v>8.4142394822006403E-2</c:v>
                </c:pt>
                <c:pt idx="676">
                  <c:v>0.163265306122448</c:v>
                </c:pt>
                <c:pt idx="677">
                  <c:v>7.7625570776255703E-2</c:v>
                </c:pt>
                <c:pt idx="678">
                  <c:v>-4.4534412955465501E-2</c:v>
                </c:pt>
                <c:pt idx="679">
                  <c:v>-4.4534412955465501E-2</c:v>
                </c:pt>
                <c:pt idx="680">
                  <c:v>9.5238095238095205E-2</c:v>
                </c:pt>
                <c:pt idx="681">
                  <c:v>2.7989821882951599E-2</c:v>
                </c:pt>
                <c:pt idx="682">
                  <c:v>0.108033240997229</c:v>
                </c:pt>
                <c:pt idx="683">
                  <c:v>0.22077922077921999</c:v>
                </c:pt>
                <c:pt idx="684">
                  <c:v>-4.4444444444444398E-2</c:v>
                </c:pt>
                <c:pt idx="685">
                  <c:v>6.3670411985018702E-2</c:v>
                </c:pt>
                <c:pt idx="686">
                  <c:v>1.0625737898465101E-2</c:v>
                </c:pt>
                <c:pt idx="687">
                  <c:v>6.1728395061728301E-2</c:v>
                </c:pt>
                <c:pt idx="688">
                  <c:v>-4.4247787610619399E-2</c:v>
                </c:pt>
                <c:pt idx="689">
                  <c:v>0.13934426229508101</c:v>
                </c:pt>
                <c:pt idx="690">
                  <c:v>9.6629213483146001E-2</c:v>
                </c:pt>
                <c:pt idx="691">
                  <c:v>0.205298013245033</c:v>
                </c:pt>
                <c:pt idx="692">
                  <c:v>0.17142857142857101</c:v>
                </c:pt>
                <c:pt idx="693">
                  <c:v>0.219512195121951</c:v>
                </c:pt>
                <c:pt idx="694">
                  <c:v>9.6907216494845294E-2</c:v>
                </c:pt>
                <c:pt idx="695">
                  <c:v>9.1482649842271294E-2</c:v>
                </c:pt>
                <c:pt idx="696">
                  <c:v>7.3170731707316999E-2</c:v>
                </c:pt>
                <c:pt idx="697">
                  <c:v>4.4058744993324399E-2</c:v>
                </c:pt>
                <c:pt idx="698">
                  <c:v>0.114197530864197</c:v>
                </c:pt>
                <c:pt idx="699">
                  <c:v>0.105263157894736</c:v>
                </c:pt>
                <c:pt idx="700">
                  <c:v>6.17977528089887E-2</c:v>
                </c:pt>
                <c:pt idx="701">
                  <c:v>-6.4516129032258004E-3</c:v>
                </c:pt>
                <c:pt idx="702">
                  <c:v>8.4931506849314997E-2</c:v>
                </c:pt>
                <c:pt idx="703">
                  <c:v>0.17857142857142799</c:v>
                </c:pt>
                <c:pt idx="704">
                  <c:v>0.18421052631578899</c:v>
                </c:pt>
                <c:pt idx="705">
                  <c:v>2.1844660194174699E-2</c:v>
                </c:pt>
                <c:pt idx="706">
                  <c:v>2.1505376344085999E-2</c:v>
                </c:pt>
                <c:pt idx="707">
                  <c:v>5.9866962305986697E-2</c:v>
                </c:pt>
                <c:pt idx="708">
                  <c:v>0.21712538226299599</c:v>
                </c:pt>
                <c:pt idx="709">
                  <c:v>8.9743589743589702E-2</c:v>
                </c:pt>
                <c:pt idx="710">
                  <c:v>7.5630252100840303E-2</c:v>
                </c:pt>
                <c:pt idx="711">
                  <c:v>7.0866141732283394E-2</c:v>
                </c:pt>
                <c:pt idx="712">
                  <c:v>7.0663811563169102E-2</c:v>
                </c:pt>
                <c:pt idx="713">
                  <c:v>0.120967741935483</c:v>
                </c:pt>
                <c:pt idx="714">
                  <c:v>0.13483146067415699</c:v>
                </c:pt>
                <c:pt idx="715">
                  <c:v>-2.3041474654377801E-2</c:v>
                </c:pt>
                <c:pt idx="716">
                  <c:v>5.4054054054054002E-2</c:v>
                </c:pt>
                <c:pt idx="717">
                  <c:v>0.16</c:v>
                </c:pt>
                <c:pt idx="718">
                  <c:v>4.70219435736677E-2</c:v>
                </c:pt>
                <c:pt idx="719">
                  <c:v>0.101639344262295</c:v>
                </c:pt>
                <c:pt idx="720">
                  <c:v>8.7878787878787806E-2</c:v>
                </c:pt>
                <c:pt idx="721">
                  <c:v>0.18947368421052599</c:v>
                </c:pt>
                <c:pt idx="722">
                  <c:v>0.13190529875986401</c:v>
                </c:pt>
                <c:pt idx="723">
                  <c:v>0.11936339522546401</c:v>
                </c:pt>
                <c:pt idx="724">
                  <c:v>4.67289719626168E-2</c:v>
                </c:pt>
                <c:pt idx="725">
                  <c:v>9.4650205761316802E-2</c:v>
                </c:pt>
                <c:pt idx="726">
                  <c:v>8.0924855491329398E-2</c:v>
                </c:pt>
                <c:pt idx="727">
                  <c:v>9.6103896103896094E-2</c:v>
                </c:pt>
                <c:pt idx="728">
                  <c:v>0.11945392491467501</c:v>
                </c:pt>
                <c:pt idx="729">
                  <c:v>6.7738231917336397E-2</c:v>
                </c:pt>
                <c:pt idx="730">
                  <c:v>0.167721518987341</c:v>
                </c:pt>
                <c:pt idx="731">
                  <c:v>0.1125</c:v>
                </c:pt>
                <c:pt idx="732">
                  <c:v>0.14492753623188401</c:v>
                </c:pt>
              </c:numCache>
            </c:numRef>
          </c:xVal>
          <c:yVal>
            <c:numRef>
              <c:f>cd!$BJ$4:$BJ$736</c:f>
              <c:numCache>
                <c:formatCode>General</c:formatCode>
                <c:ptCount val="733"/>
                <c:pt idx="0">
                  <c:v>6.0099999999999997E-3</c:v>
                </c:pt>
                <c:pt idx="1">
                  <c:v>3.3700000000000001E-2</c:v>
                </c:pt>
                <c:pt idx="2">
                  <c:v>1.417E-2</c:v>
                </c:pt>
                <c:pt idx="3">
                  <c:v>1.478E-2</c:v>
                </c:pt>
                <c:pt idx="4">
                  <c:v>1.478E-2</c:v>
                </c:pt>
                <c:pt idx="5">
                  <c:v>5.9339999999999997E-2</c:v>
                </c:pt>
                <c:pt idx="6">
                  <c:v>9.9799999999999993E-3</c:v>
                </c:pt>
                <c:pt idx="7">
                  <c:v>0</c:v>
                </c:pt>
                <c:pt idx="8">
                  <c:v>4.5949999999999998E-2</c:v>
                </c:pt>
                <c:pt idx="9">
                  <c:v>1.9140000000000001E-2</c:v>
                </c:pt>
                <c:pt idx="10">
                  <c:v>3.032E-2</c:v>
                </c:pt>
                <c:pt idx="11">
                  <c:v>1.9390000000000001E-2</c:v>
                </c:pt>
                <c:pt idx="12">
                  <c:v>0</c:v>
                </c:pt>
                <c:pt idx="13">
                  <c:v>5.8310000000000001E-2</c:v>
                </c:pt>
                <c:pt idx="14">
                  <c:v>8.702E-2</c:v>
                </c:pt>
                <c:pt idx="15">
                  <c:v>0</c:v>
                </c:pt>
                <c:pt idx="16">
                  <c:v>3.807E-2</c:v>
                </c:pt>
                <c:pt idx="17">
                  <c:v>0</c:v>
                </c:pt>
                <c:pt idx="18">
                  <c:v>2.197E-2</c:v>
                </c:pt>
                <c:pt idx="19">
                  <c:v>8.1920000000000007E-2</c:v>
                </c:pt>
                <c:pt idx="20">
                  <c:v>3.542E-2</c:v>
                </c:pt>
                <c:pt idx="21">
                  <c:v>0</c:v>
                </c:pt>
                <c:pt idx="22">
                  <c:v>6.5559999999999993E-2</c:v>
                </c:pt>
                <c:pt idx="23">
                  <c:v>0.19470000000000001</c:v>
                </c:pt>
                <c:pt idx="24">
                  <c:v>0.25430999999999998</c:v>
                </c:pt>
                <c:pt idx="25">
                  <c:v>3.637E-2</c:v>
                </c:pt>
                <c:pt idx="26">
                  <c:v>2.0969999999999999E-2</c:v>
                </c:pt>
                <c:pt idx="27">
                  <c:v>0.12712000000000001</c:v>
                </c:pt>
                <c:pt idx="28">
                  <c:v>6.8210000000000007E-2</c:v>
                </c:pt>
                <c:pt idx="29">
                  <c:v>7.2500000000000004E-3</c:v>
                </c:pt>
                <c:pt idx="30">
                  <c:v>1.3089999999999999E-2</c:v>
                </c:pt>
                <c:pt idx="31">
                  <c:v>2.3599999999999999E-2</c:v>
                </c:pt>
                <c:pt idx="32">
                  <c:v>1.205E-2</c:v>
                </c:pt>
                <c:pt idx="33">
                  <c:v>5.9299999999999999E-2</c:v>
                </c:pt>
                <c:pt idx="34">
                  <c:v>2.9819999999999999E-2</c:v>
                </c:pt>
                <c:pt idx="35">
                  <c:v>8.0300000000000007E-3</c:v>
                </c:pt>
                <c:pt idx="36">
                  <c:v>3.8710000000000001E-2</c:v>
                </c:pt>
                <c:pt idx="37">
                  <c:v>3.4090000000000002E-2</c:v>
                </c:pt>
                <c:pt idx="38">
                  <c:v>2.546E-2</c:v>
                </c:pt>
                <c:pt idx="39">
                  <c:v>8.94E-3</c:v>
                </c:pt>
                <c:pt idx="40">
                  <c:v>1.18E-2</c:v>
                </c:pt>
                <c:pt idx="41">
                  <c:v>2.8379999999999999E-2</c:v>
                </c:pt>
                <c:pt idx="42">
                  <c:v>1.093E-2</c:v>
                </c:pt>
                <c:pt idx="43">
                  <c:v>1.6140000000000002E-2</c:v>
                </c:pt>
                <c:pt idx="44">
                  <c:v>9.4089999999999993E-2</c:v>
                </c:pt>
                <c:pt idx="45">
                  <c:v>1.7840000000000002E-2</c:v>
                </c:pt>
                <c:pt idx="46">
                  <c:v>2.5080000000000002E-2</c:v>
                </c:pt>
                <c:pt idx="47">
                  <c:v>9.0799999999999995E-3</c:v>
                </c:pt>
                <c:pt idx="48">
                  <c:v>0</c:v>
                </c:pt>
                <c:pt idx="49">
                  <c:v>0</c:v>
                </c:pt>
                <c:pt idx="50">
                  <c:v>3.6549999999999999E-2</c:v>
                </c:pt>
                <c:pt idx="51">
                  <c:v>0</c:v>
                </c:pt>
                <c:pt idx="52">
                  <c:v>7.46E-2</c:v>
                </c:pt>
                <c:pt idx="53">
                  <c:v>6.3200000000000001E-3</c:v>
                </c:pt>
                <c:pt idx="54">
                  <c:v>7.4099999999999999E-3</c:v>
                </c:pt>
                <c:pt idx="55">
                  <c:v>0</c:v>
                </c:pt>
                <c:pt idx="56">
                  <c:v>5.4480000000000001E-2</c:v>
                </c:pt>
                <c:pt idx="57">
                  <c:v>0</c:v>
                </c:pt>
                <c:pt idx="58">
                  <c:v>3.2960000000000003E-2</c:v>
                </c:pt>
                <c:pt idx="59">
                  <c:v>9.2310000000000003E-2</c:v>
                </c:pt>
                <c:pt idx="60">
                  <c:v>0.11325</c:v>
                </c:pt>
                <c:pt idx="61">
                  <c:v>2.929E-2</c:v>
                </c:pt>
                <c:pt idx="62">
                  <c:v>9.1819999999999999E-2</c:v>
                </c:pt>
                <c:pt idx="63">
                  <c:v>0</c:v>
                </c:pt>
                <c:pt idx="64">
                  <c:v>5.534E-2</c:v>
                </c:pt>
                <c:pt idx="65">
                  <c:v>6.6739999999999994E-2</c:v>
                </c:pt>
                <c:pt idx="66">
                  <c:v>6.028E-2</c:v>
                </c:pt>
                <c:pt idx="67">
                  <c:v>0</c:v>
                </c:pt>
                <c:pt idx="68">
                  <c:v>0</c:v>
                </c:pt>
                <c:pt idx="69">
                  <c:v>7.1609999999999993E-2</c:v>
                </c:pt>
                <c:pt idx="70">
                  <c:v>4.5100000000000001E-2</c:v>
                </c:pt>
                <c:pt idx="71">
                  <c:v>0</c:v>
                </c:pt>
                <c:pt idx="72">
                  <c:v>0</c:v>
                </c:pt>
                <c:pt idx="73">
                  <c:v>3.3590000000000002E-2</c:v>
                </c:pt>
                <c:pt idx="74">
                  <c:v>3.3590000000000002E-2</c:v>
                </c:pt>
                <c:pt idx="75">
                  <c:v>0.10604</c:v>
                </c:pt>
                <c:pt idx="76">
                  <c:v>8.838E-2</c:v>
                </c:pt>
                <c:pt idx="77">
                  <c:v>8.5610000000000006E-2</c:v>
                </c:pt>
                <c:pt idx="78">
                  <c:v>2.9680000000000002E-2</c:v>
                </c:pt>
                <c:pt idx="79">
                  <c:v>1.6879999999999999E-2</c:v>
                </c:pt>
                <c:pt idx="80">
                  <c:v>9.1920000000000002E-2</c:v>
                </c:pt>
                <c:pt idx="81">
                  <c:v>2.5400000000000002E-3</c:v>
                </c:pt>
                <c:pt idx="82">
                  <c:v>8.6800000000000002E-3</c:v>
                </c:pt>
                <c:pt idx="83">
                  <c:v>2.1729999999999999E-2</c:v>
                </c:pt>
                <c:pt idx="84">
                  <c:v>4.045E-2</c:v>
                </c:pt>
                <c:pt idx="85">
                  <c:v>7.8450000000000006E-2</c:v>
                </c:pt>
                <c:pt idx="86">
                  <c:v>8.5279999999999995E-2</c:v>
                </c:pt>
                <c:pt idx="87">
                  <c:v>0.10631</c:v>
                </c:pt>
                <c:pt idx="88">
                  <c:v>0.10631</c:v>
                </c:pt>
                <c:pt idx="89">
                  <c:v>4.1369999999999997E-2</c:v>
                </c:pt>
                <c:pt idx="90">
                  <c:v>6.1429999999999998E-2</c:v>
                </c:pt>
                <c:pt idx="91">
                  <c:v>0</c:v>
                </c:pt>
                <c:pt idx="92">
                  <c:v>0.16929</c:v>
                </c:pt>
                <c:pt idx="93">
                  <c:v>0.10920000000000001</c:v>
                </c:pt>
                <c:pt idx="94">
                  <c:v>1.976E-2</c:v>
                </c:pt>
                <c:pt idx="95">
                  <c:v>4.9639999999999997E-2</c:v>
                </c:pt>
                <c:pt idx="96">
                  <c:v>1.1379999999999999E-2</c:v>
                </c:pt>
                <c:pt idx="97">
                  <c:v>3.3020000000000001E-2</c:v>
                </c:pt>
                <c:pt idx="98">
                  <c:v>4.2360000000000002E-2</c:v>
                </c:pt>
                <c:pt idx="99">
                  <c:v>8.695E-2</c:v>
                </c:pt>
                <c:pt idx="100">
                  <c:v>1.9519999999999999E-2</c:v>
                </c:pt>
                <c:pt idx="101">
                  <c:v>8.4779999999999994E-2</c:v>
                </c:pt>
                <c:pt idx="102">
                  <c:v>0.24440999999999999</c:v>
                </c:pt>
                <c:pt idx="103">
                  <c:v>7.578E-2</c:v>
                </c:pt>
                <c:pt idx="104">
                  <c:v>4.5069999999999999E-2</c:v>
                </c:pt>
                <c:pt idx="105">
                  <c:v>4.6309999999999997E-2</c:v>
                </c:pt>
                <c:pt idx="106">
                  <c:v>4.0750000000000001E-2</c:v>
                </c:pt>
                <c:pt idx="107">
                  <c:v>5.2979999999999999E-2</c:v>
                </c:pt>
                <c:pt idx="108">
                  <c:v>8.1049999999999997E-2</c:v>
                </c:pt>
                <c:pt idx="109">
                  <c:v>4.1689999999999998E-2</c:v>
                </c:pt>
                <c:pt idx="110">
                  <c:v>2.349E-2</c:v>
                </c:pt>
                <c:pt idx="111">
                  <c:v>4.666E-2</c:v>
                </c:pt>
                <c:pt idx="112">
                  <c:v>1.9970000000000002E-2</c:v>
                </c:pt>
                <c:pt idx="113">
                  <c:v>3.8699999999999998E-2</c:v>
                </c:pt>
                <c:pt idx="114">
                  <c:v>3.9879999999999999E-2</c:v>
                </c:pt>
                <c:pt idx="115">
                  <c:v>2.1350000000000001E-2</c:v>
                </c:pt>
                <c:pt idx="116">
                  <c:v>2.0109999999999999E-2</c:v>
                </c:pt>
                <c:pt idx="117">
                  <c:v>2.7539999999999999E-2</c:v>
                </c:pt>
                <c:pt idx="118">
                  <c:v>5.1069999999999997E-2</c:v>
                </c:pt>
                <c:pt idx="119">
                  <c:v>6.019E-2</c:v>
                </c:pt>
                <c:pt idx="120">
                  <c:v>9.9629999999999996E-2</c:v>
                </c:pt>
                <c:pt idx="121">
                  <c:v>5.2940000000000001E-2</c:v>
                </c:pt>
                <c:pt idx="122">
                  <c:v>8.4909999999999999E-2</c:v>
                </c:pt>
                <c:pt idx="123">
                  <c:v>2.8410000000000001E-2</c:v>
                </c:pt>
                <c:pt idx="124">
                  <c:v>1.414E-2</c:v>
                </c:pt>
                <c:pt idx="125">
                  <c:v>3.1399999999999997E-2</c:v>
                </c:pt>
                <c:pt idx="126">
                  <c:v>2.001E-2</c:v>
                </c:pt>
                <c:pt idx="127">
                  <c:v>2.3449999999999999E-2</c:v>
                </c:pt>
                <c:pt idx="128">
                  <c:v>3.9989999999999998E-2</c:v>
                </c:pt>
                <c:pt idx="129">
                  <c:v>3.9989999999999998E-2</c:v>
                </c:pt>
                <c:pt idx="130">
                  <c:v>2.4309999999999998E-2</c:v>
                </c:pt>
                <c:pt idx="131">
                  <c:v>5.5030000000000003E-2</c:v>
                </c:pt>
                <c:pt idx="132">
                  <c:v>3.032E-2</c:v>
                </c:pt>
                <c:pt idx="133">
                  <c:v>6.6309999999999994E-2</c:v>
                </c:pt>
                <c:pt idx="134">
                  <c:v>0.13489999999999999</c:v>
                </c:pt>
                <c:pt idx="135">
                  <c:v>1.359E-2</c:v>
                </c:pt>
                <c:pt idx="136">
                  <c:v>1.359E-2</c:v>
                </c:pt>
                <c:pt idx="137">
                  <c:v>6.5129999999999993E-2</c:v>
                </c:pt>
                <c:pt idx="138">
                  <c:v>1.7510000000000001E-2</c:v>
                </c:pt>
                <c:pt idx="139">
                  <c:v>3.6749999999999998E-2</c:v>
                </c:pt>
                <c:pt idx="140">
                  <c:v>3.1539999999999999E-2</c:v>
                </c:pt>
                <c:pt idx="141">
                  <c:v>0.14030999999999999</c:v>
                </c:pt>
                <c:pt idx="142">
                  <c:v>0</c:v>
                </c:pt>
                <c:pt idx="143">
                  <c:v>0</c:v>
                </c:pt>
                <c:pt idx="144">
                  <c:v>1.189E-2</c:v>
                </c:pt>
                <c:pt idx="145">
                  <c:v>2.6099999999999999E-3</c:v>
                </c:pt>
                <c:pt idx="146">
                  <c:v>2.5760000000000002E-2</c:v>
                </c:pt>
                <c:pt idx="147">
                  <c:v>1.745E-2</c:v>
                </c:pt>
                <c:pt idx="148">
                  <c:v>4.9950000000000001E-2</c:v>
                </c:pt>
                <c:pt idx="149">
                  <c:v>4.641E-2</c:v>
                </c:pt>
                <c:pt idx="150">
                  <c:v>8.4860000000000005E-2</c:v>
                </c:pt>
                <c:pt idx="151">
                  <c:v>3.184E-2</c:v>
                </c:pt>
                <c:pt idx="152">
                  <c:v>1.004E-2</c:v>
                </c:pt>
                <c:pt idx="153">
                  <c:v>9.3810000000000004E-2</c:v>
                </c:pt>
                <c:pt idx="154">
                  <c:v>6.2390000000000001E-2</c:v>
                </c:pt>
                <c:pt idx="155">
                  <c:v>6.1129999999999997E-2</c:v>
                </c:pt>
                <c:pt idx="156">
                  <c:v>4.3580000000000001E-2</c:v>
                </c:pt>
                <c:pt idx="157">
                  <c:v>8.0099999999999998E-3</c:v>
                </c:pt>
                <c:pt idx="158">
                  <c:v>8.0099999999999998E-3</c:v>
                </c:pt>
                <c:pt idx="159">
                  <c:v>0</c:v>
                </c:pt>
                <c:pt idx="160">
                  <c:v>0.53502000000000005</c:v>
                </c:pt>
                <c:pt idx="161">
                  <c:v>8.5970000000000005E-2</c:v>
                </c:pt>
                <c:pt idx="162">
                  <c:v>0.10975</c:v>
                </c:pt>
                <c:pt idx="163">
                  <c:v>0</c:v>
                </c:pt>
                <c:pt idx="164">
                  <c:v>0</c:v>
                </c:pt>
                <c:pt idx="165">
                  <c:v>0.10141</c:v>
                </c:pt>
                <c:pt idx="166">
                  <c:v>0.10141</c:v>
                </c:pt>
                <c:pt idx="167">
                  <c:v>3.9419999999999997E-2</c:v>
                </c:pt>
                <c:pt idx="168">
                  <c:v>9.4199999999999996E-3</c:v>
                </c:pt>
                <c:pt idx="169">
                  <c:v>1.1990000000000001E-2</c:v>
                </c:pt>
                <c:pt idx="170">
                  <c:v>0.15705</c:v>
                </c:pt>
                <c:pt idx="171">
                  <c:v>0.37728</c:v>
                </c:pt>
                <c:pt idx="172">
                  <c:v>1.0580000000000001E-2</c:v>
                </c:pt>
                <c:pt idx="173">
                  <c:v>1.2319999999999999E-2</c:v>
                </c:pt>
                <c:pt idx="174">
                  <c:v>9.1840000000000005E-2</c:v>
                </c:pt>
                <c:pt idx="175">
                  <c:v>0.57764000000000004</c:v>
                </c:pt>
                <c:pt idx="176">
                  <c:v>1.205E-2</c:v>
                </c:pt>
                <c:pt idx="177">
                  <c:v>0.12157999999999999</c:v>
                </c:pt>
                <c:pt idx="178">
                  <c:v>0.23713000000000001</c:v>
                </c:pt>
                <c:pt idx="179">
                  <c:v>1.5509999999999999E-2</c:v>
                </c:pt>
                <c:pt idx="180">
                  <c:v>6.3039999999999999E-2</c:v>
                </c:pt>
                <c:pt idx="181">
                  <c:v>7.2900000000000006E-2</c:v>
                </c:pt>
                <c:pt idx="182">
                  <c:v>6.0290000000000003E-2</c:v>
                </c:pt>
                <c:pt idx="183">
                  <c:v>5.2249999999999998E-2</c:v>
                </c:pt>
                <c:pt idx="184">
                  <c:v>0.12003</c:v>
                </c:pt>
                <c:pt idx="185">
                  <c:v>5.6930000000000001E-2</c:v>
                </c:pt>
                <c:pt idx="186">
                  <c:v>0.11767</c:v>
                </c:pt>
                <c:pt idx="187">
                  <c:v>3.7159999999999999E-2</c:v>
                </c:pt>
                <c:pt idx="188">
                  <c:v>2.1260000000000001E-2</c:v>
                </c:pt>
                <c:pt idx="189">
                  <c:v>0</c:v>
                </c:pt>
                <c:pt idx="190">
                  <c:v>2.5780000000000001E-2</c:v>
                </c:pt>
                <c:pt idx="191">
                  <c:v>2.409E-2</c:v>
                </c:pt>
                <c:pt idx="192">
                  <c:v>1.9179999999999999E-2</c:v>
                </c:pt>
                <c:pt idx="193">
                  <c:v>1.5810000000000001E-2</c:v>
                </c:pt>
                <c:pt idx="194">
                  <c:v>2.3980000000000001E-2</c:v>
                </c:pt>
                <c:pt idx="195">
                  <c:v>1.883E-2</c:v>
                </c:pt>
                <c:pt idx="196">
                  <c:v>2.196E-2</c:v>
                </c:pt>
                <c:pt idx="197">
                  <c:v>5.6340000000000001E-2</c:v>
                </c:pt>
                <c:pt idx="198">
                  <c:v>0.11469</c:v>
                </c:pt>
                <c:pt idx="199">
                  <c:v>0.17311000000000001</c:v>
                </c:pt>
                <c:pt idx="200">
                  <c:v>1.413E-2</c:v>
                </c:pt>
                <c:pt idx="201">
                  <c:v>5.9500000000000004E-3</c:v>
                </c:pt>
                <c:pt idx="202">
                  <c:v>5.8560000000000001E-2</c:v>
                </c:pt>
                <c:pt idx="203">
                  <c:v>2.4039999999999999E-2</c:v>
                </c:pt>
                <c:pt idx="204">
                  <c:v>2.4039999999999999E-2</c:v>
                </c:pt>
                <c:pt idx="205">
                  <c:v>2.6530000000000001E-2</c:v>
                </c:pt>
                <c:pt idx="206">
                  <c:v>3.3020000000000001E-2</c:v>
                </c:pt>
                <c:pt idx="207">
                  <c:v>7.3649999999999993E-2</c:v>
                </c:pt>
                <c:pt idx="208">
                  <c:v>1.274E-2</c:v>
                </c:pt>
                <c:pt idx="209">
                  <c:v>6.2979999999999994E-2</c:v>
                </c:pt>
                <c:pt idx="210">
                  <c:v>6.4000000000000003E-3</c:v>
                </c:pt>
                <c:pt idx="211">
                  <c:v>5.0970000000000001E-2</c:v>
                </c:pt>
                <c:pt idx="212">
                  <c:v>3.9030000000000002E-2</c:v>
                </c:pt>
                <c:pt idx="213">
                  <c:v>2.044E-2</c:v>
                </c:pt>
                <c:pt idx="214">
                  <c:v>9.7970000000000002E-2</c:v>
                </c:pt>
                <c:pt idx="215">
                  <c:v>1.7139999999999999E-2</c:v>
                </c:pt>
                <c:pt idx="216">
                  <c:v>2.741E-2</c:v>
                </c:pt>
                <c:pt idx="217">
                  <c:v>0</c:v>
                </c:pt>
                <c:pt idx="218">
                  <c:v>2.333E-2</c:v>
                </c:pt>
                <c:pt idx="219">
                  <c:v>2.631E-2</c:v>
                </c:pt>
                <c:pt idx="220">
                  <c:v>0.21038000000000001</c:v>
                </c:pt>
                <c:pt idx="221">
                  <c:v>4.2599999999999999E-3</c:v>
                </c:pt>
                <c:pt idx="222">
                  <c:v>3.0589999999999999E-2</c:v>
                </c:pt>
                <c:pt idx="223">
                  <c:v>7.1300000000000001E-3</c:v>
                </c:pt>
                <c:pt idx="224">
                  <c:v>2.6880000000000001E-2</c:v>
                </c:pt>
                <c:pt idx="225">
                  <c:v>0</c:v>
                </c:pt>
                <c:pt idx="226">
                  <c:v>4.7169999999999997E-2</c:v>
                </c:pt>
                <c:pt idx="227">
                  <c:v>1.508E-2</c:v>
                </c:pt>
                <c:pt idx="228">
                  <c:v>5.6399999999999999E-2</c:v>
                </c:pt>
                <c:pt idx="229">
                  <c:v>7.5560000000000002E-2</c:v>
                </c:pt>
                <c:pt idx="230">
                  <c:v>5.9950000000000003E-2</c:v>
                </c:pt>
                <c:pt idx="231">
                  <c:v>5.135E-2</c:v>
                </c:pt>
                <c:pt idx="232">
                  <c:v>2.7720000000000002E-2</c:v>
                </c:pt>
                <c:pt idx="233">
                  <c:v>1.3979999999999999E-2</c:v>
                </c:pt>
                <c:pt idx="234">
                  <c:v>3.798E-2</c:v>
                </c:pt>
                <c:pt idx="235">
                  <c:v>0</c:v>
                </c:pt>
                <c:pt idx="236">
                  <c:v>1.128E-2</c:v>
                </c:pt>
                <c:pt idx="237">
                  <c:v>3.585E-2</c:v>
                </c:pt>
                <c:pt idx="238">
                  <c:v>2.1919999999999999E-2</c:v>
                </c:pt>
                <c:pt idx="239">
                  <c:v>3.7280000000000001E-2</c:v>
                </c:pt>
                <c:pt idx="240">
                  <c:v>4.5069999999999999E-2</c:v>
                </c:pt>
                <c:pt idx="241">
                  <c:v>1.1780000000000001E-2</c:v>
                </c:pt>
                <c:pt idx="242">
                  <c:v>4.0090000000000001E-2</c:v>
                </c:pt>
                <c:pt idx="243">
                  <c:v>7.356E-2</c:v>
                </c:pt>
                <c:pt idx="244">
                  <c:v>1.8149999999999999E-2</c:v>
                </c:pt>
                <c:pt idx="245">
                  <c:v>4.0629999999999999E-2</c:v>
                </c:pt>
                <c:pt idx="246">
                  <c:v>2.164E-2</c:v>
                </c:pt>
                <c:pt idx="247">
                  <c:v>0.11953999999999999</c:v>
                </c:pt>
                <c:pt idx="248">
                  <c:v>7.4130000000000001E-2</c:v>
                </c:pt>
                <c:pt idx="249">
                  <c:v>0</c:v>
                </c:pt>
                <c:pt idx="250">
                  <c:v>3.9570000000000001E-2</c:v>
                </c:pt>
                <c:pt idx="251">
                  <c:v>9.2259999999999995E-2</c:v>
                </c:pt>
                <c:pt idx="252">
                  <c:v>2.1329999999999998E-2</c:v>
                </c:pt>
                <c:pt idx="253">
                  <c:v>4.4929999999999998E-2</c:v>
                </c:pt>
                <c:pt idx="254">
                  <c:v>0.11971</c:v>
                </c:pt>
                <c:pt idx="255">
                  <c:v>8.8099999999999998E-2</c:v>
                </c:pt>
                <c:pt idx="256">
                  <c:v>0</c:v>
                </c:pt>
                <c:pt idx="257">
                  <c:v>5.9339999999999997E-2</c:v>
                </c:pt>
                <c:pt idx="258">
                  <c:v>2.4309999999999998E-2</c:v>
                </c:pt>
                <c:pt idx="259">
                  <c:v>6.8599999999999998E-3</c:v>
                </c:pt>
                <c:pt idx="260">
                  <c:v>7.0849999999999996E-2</c:v>
                </c:pt>
                <c:pt idx="261">
                  <c:v>9.9500000000000005E-3</c:v>
                </c:pt>
                <c:pt idx="262">
                  <c:v>2.3460000000000002E-2</c:v>
                </c:pt>
                <c:pt idx="263">
                  <c:v>4.4970000000000003E-2</c:v>
                </c:pt>
                <c:pt idx="264">
                  <c:v>5.2859999999999997E-2</c:v>
                </c:pt>
                <c:pt idx="265">
                  <c:v>1.6039999999999999E-2</c:v>
                </c:pt>
                <c:pt idx="266">
                  <c:v>1.03E-2</c:v>
                </c:pt>
                <c:pt idx="267">
                  <c:v>3.0939999999999999E-2</c:v>
                </c:pt>
                <c:pt idx="268">
                  <c:v>0.15315000000000001</c:v>
                </c:pt>
                <c:pt idx="269">
                  <c:v>0.23346</c:v>
                </c:pt>
                <c:pt idx="270">
                  <c:v>5.629E-2</c:v>
                </c:pt>
                <c:pt idx="271">
                  <c:v>1.52E-2</c:v>
                </c:pt>
                <c:pt idx="272">
                  <c:v>5.9339999999999997E-2</c:v>
                </c:pt>
                <c:pt idx="273">
                  <c:v>0</c:v>
                </c:pt>
                <c:pt idx="274">
                  <c:v>2.2530000000000001E-2</c:v>
                </c:pt>
                <c:pt idx="275">
                  <c:v>3.074E-2</c:v>
                </c:pt>
                <c:pt idx="276">
                  <c:v>0.10544000000000001</c:v>
                </c:pt>
                <c:pt idx="277">
                  <c:v>1.0319999999999999E-2</c:v>
                </c:pt>
                <c:pt idx="278">
                  <c:v>7.6600000000000001E-2</c:v>
                </c:pt>
                <c:pt idx="279">
                  <c:v>0.10463</c:v>
                </c:pt>
                <c:pt idx="280">
                  <c:v>2.4080000000000001E-2</c:v>
                </c:pt>
                <c:pt idx="281">
                  <c:v>0</c:v>
                </c:pt>
                <c:pt idx="282">
                  <c:v>3.5650000000000001E-2</c:v>
                </c:pt>
                <c:pt idx="283">
                  <c:v>0.10645</c:v>
                </c:pt>
                <c:pt idx="284">
                  <c:v>4.7719999999999999E-2</c:v>
                </c:pt>
                <c:pt idx="285">
                  <c:v>5.7750000000000003E-2</c:v>
                </c:pt>
                <c:pt idx="286">
                  <c:v>2.6710000000000001E-2</c:v>
                </c:pt>
                <c:pt idx="287">
                  <c:v>1.6539999999999999E-2</c:v>
                </c:pt>
                <c:pt idx="288">
                  <c:v>4.1860000000000001E-2</c:v>
                </c:pt>
                <c:pt idx="289">
                  <c:v>1.721E-2</c:v>
                </c:pt>
                <c:pt idx="290">
                  <c:v>6.1240000000000003E-2</c:v>
                </c:pt>
                <c:pt idx="291">
                  <c:v>1.4160000000000001E-2</c:v>
                </c:pt>
                <c:pt idx="292">
                  <c:v>0</c:v>
                </c:pt>
                <c:pt idx="293">
                  <c:v>8.6529999999999996E-2</c:v>
                </c:pt>
                <c:pt idx="294">
                  <c:v>3.8309999999999997E-2</c:v>
                </c:pt>
                <c:pt idx="295">
                  <c:v>5.4400000000000004E-3</c:v>
                </c:pt>
                <c:pt idx="296">
                  <c:v>5.8779999999999999E-2</c:v>
                </c:pt>
                <c:pt idx="297">
                  <c:v>7.1999999999999998E-3</c:v>
                </c:pt>
                <c:pt idx="298">
                  <c:v>1.644E-2</c:v>
                </c:pt>
                <c:pt idx="299">
                  <c:v>0</c:v>
                </c:pt>
                <c:pt idx="300">
                  <c:v>0.13814000000000001</c:v>
                </c:pt>
                <c:pt idx="301">
                  <c:v>2.7709999999999999E-2</c:v>
                </c:pt>
                <c:pt idx="302">
                  <c:v>5.1599999999999997E-3</c:v>
                </c:pt>
                <c:pt idx="303">
                  <c:v>2.6710000000000001E-2</c:v>
                </c:pt>
                <c:pt idx="304">
                  <c:v>0.19772999999999999</c:v>
                </c:pt>
                <c:pt idx="305">
                  <c:v>0</c:v>
                </c:pt>
                <c:pt idx="306">
                  <c:v>0.12486999999999999</c:v>
                </c:pt>
                <c:pt idx="307">
                  <c:v>4.1770000000000002E-2</c:v>
                </c:pt>
                <c:pt idx="308">
                  <c:v>7.4200000000000002E-2</c:v>
                </c:pt>
                <c:pt idx="309">
                  <c:v>1.865E-2</c:v>
                </c:pt>
                <c:pt idx="310">
                  <c:v>3.354E-2</c:v>
                </c:pt>
                <c:pt idx="311">
                  <c:v>3.354E-2</c:v>
                </c:pt>
                <c:pt idx="312">
                  <c:v>8.9499999999999996E-3</c:v>
                </c:pt>
                <c:pt idx="313">
                  <c:v>0</c:v>
                </c:pt>
                <c:pt idx="314">
                  <c:v>5.3699999999999998E-2</c:v>
                </c:pt>
                <c:pt idx="315">
                  <c:v>0</c:v>
                </c:pt>
                <c:pt idx="316">
                  <c:v>5.3780000000000001E-2</c:v>
                </c:pt>
                <c:pt idx="317">
                  <c:v>6.6970000000000002E-2</c:v>
                </c:pt>
                <c:pt idx="318">
                  <c:v>7.671E-2</c:v>
                </c:pt>
                <c:pt idx="319">
                  <c:v>3.4380000000000001E-2</c:v>
                </c:pt>
                <c:pt idx="320">
                  <c:v>5.9299999999999999E-2</c:v>
                </c:pt>
                <c:pt idx="321">
                  <c:v>0.18285000000000001</c:v>
                </c:pt>
                <c:pt idx="322">
                  <c:v>1.9359999999999999E-2</c:v>
                </c:pt>
                <c:pt idx="323">
                  <c:v>4.3740000000000001E-2</c:v>
                </c:pt>
                <c:pt idx="324">
                  <c:v>5.4010000000000002E-2</c:v>
                </c:pt>
                <c:pt idx="325">
                  <c:v>3.449E-2</c:v>
                </c:pt>
                <c:pt idx="326">
                  <c:v>2.6339999999999999E-2</c:v>
                </c:pt>
                <c:pt idx="327">
                  <c:v>4.1169999999999998E-2</c:v>
                </c:pt>
                <c:pt idx="328">
                  <c:v>5.5169999999999997E-2</c:v>
                </c:pt>
                <c:pt idx="329">
                  <c:v>1.9650000000000001E-2</c:v>
                </c:pt>
                <c:pt idx="330">
                  <c:v>2.12E-2</c:v>
                </c:pt>
                <c:pt idx="331">
                  <c:v>3.6200000000000003E-2</c:v>
                </c:pt>
                <c:pt idx="332">
                  <c:v>2.2939999999999999E-2</c:v>
                </c:pt>
                <c:pt idx="333">
                  <c:v>5.4370000000000002E-2</c:v>
                </c:pt>
                <c:pt idx="334">
                  <c:v>3.2899999999999999E-2</c:v>
                </c:pt>
                <c:pt idx="335">
                  <c:v>0</c:v>
                </c:pt>
                <c:pt idx="336">
                  <c:v>0</c:v>
                </c:pt>
                <c:pt idx="337">
                  <c:v>1.601E-2</c:v>
                </c:pt>
                <c:pt idx="338">
                  <c:v>0</c:v>
                </c:pt>
                <c:pt idx="339">
                  <c:v>0.10881</c:v>
                </c:pt>
                <c:pt idx="340">
                  <c:v>0.12099</c:v>
                </c:pt>
                <c:pt idx="341">
                  <c:v>2.0820000000000002E-2</c:v>
                </c:pt>
                <c:pt idx="342">
                  <c:v>1.2160000000000001E-2</c:v>
                </c:pt>
                <c:pt idx="343">
                  <c:v>1.2160000000000001E-2</c:v>
                </c:pt>
                <c:pt idx="344">
                  <c:v>1.2160000000000001E-2</c:v>
                </c:pt>
                <c:pt idx="345">
                  <c:v>1.183E-2</c:v>
                </c:pt>
                <c:pt idx="346">
                  <c:v>2.1760000000000002E-2</c:v>
                </c:pt>
                <c:pt idx="347">
                  <c:v>7.0349999999999996E-2</c:v>
                </c:pt>
                <c:pt idx="348">
                  <c:v>1.804E-2</c:v>
                </c:pt>
                <c:pt idx="349">
                  <c:v>6.7169999999999994E-2</c:v>
                </c:pt>
                <c:pt idx="350">
                  <c:v>0.11024</c:v>
                </c:pt>
                <c:pt idx="351">
                  <c:v>7.8219999999999998E-2</c:v>
                </c:pt>
                <c:pt idx="352">
                  <c:v>3.8519999999999999E-2</c:v>
                </c:pt>
                <c:pt idx="353">
                  <c:v>4.505E-2</c:v>
                </c:pt>
                <c:pt idx="354">
                  <c:v>6.7299999999999999E-2</c:v>
                </c:pt>
                <c:pt idx="355">
                  <c:v>0</c:v>
                </c:pt>
                <c:pt idx="356">
                  <c:v>5.4899999999999997E-2</c:v>
                </c:pt>
                <c:pt idx="357">
                  <c:v>2.7040000000000002E-2</c:v>
                </c:pt>
                <c:pt idx="358">
                  <c:v>7.8640000000000002E-2</c:v>
                </c:pt>
                <c:pt idx="359">
                  <c:v>0</c:v>
                </c:pt>
                <c:pt idx="360">
                  <c:v>1.6789999999999999E-2</c:v>
                </c:pt>
                <c:pt idx="361">
                  <c:v>6.2260000000000003E-2</c:v>
                </c:pt>
                <c:pt idx="362">
                  <c:v>3.4880000000000001E-2</c:v>
                </c:pt>
                <c:pt idx="363">
                  <c:v>7.2690000000000005E-2</c:v>
                </c:pt>
                <c:pt idx="364">
                  <c:v>1.5879999999999998E-2</c:v>
                </c:pt>
                <c:pt idx="365">
                  <c:v>1.9009999999999999E-2</c:v>
                </c:pt>
                <c:pt idx="366">
                  <c:v>3.4470000000000001E-2</c:v>
                </c:pt>
                <c:pt idx="367">
                  <c:v>1.9970000000000002E-2</c:v>
                </c:pt>
                <c:pt idx="368">
                  <c:v>0.14358000000000001</c:v>
                </c:pt>
                <c:pt idx="369">
                  <c:v>4.7840000000000001E-2</c:v>
                </c:pt>
                <c:pt idx="370">
                  <c:v>0.12909999999999999</c:v>
                </c:pt>
                <c:pt idx="371">
                  <c:v>0</c:v>
                </c:pt>
                <c:pt idx="372">
                  <c:v>2.9700000000000001E-2</c:v>
                </c:pt>
                <c:pt idx="373">
                  <c:v>0.11071</c:v>
                </c:pt>
                <c:pt idx="374">
                  <c:v>0</c:v>
                </c:pt>
                <c:pt idx="375">
                  <c:v>4.2139999999999997E-2</c:v>
                </c:pt>
                <c:pt idx="376">
                  <c:v>4.8410000000000002E-2</c:v>
                </c:pt>
                <c:pt idx="377">
                  <c:v>4.7109999999999999E-2</c:v>
                </c:pt>
                <c:pt idx="378">
                  <c:v>7.3200000000000001E-3</c:v>
                </c:pt>
                <c:pt idx="379">
                  <c:v>0</c:v>
                </c:pt>
                <c:pt idx="380">
                  <c:v>3.3759999999999998E-2</c:v>
                </c:pt>
                <c:pt idx="381">
                  <c:v>0.16905999999999999</c:v>
                </c:pt>
                <c:pt idx="382">
                  <c:v>6.6800000000000002E-3</c:v>
                </c:pt>
                <c:pt idx="383">
                  <c:v>2.4670000000000001E-2</c:v>
                </c:pt>
                <c:pt idx="384">
                  <c:v>1.159E-2</c:v>
                </c:pt>
                <c:pt idx="385">
                  <c:v>6.2050000000000001E-2</c:v>
                </c:pt>
                <c:pt idx="386">
                  <c:v>0.10517</c:v>
                </c:pt>
                <c:pt idx="387">
                  <c:v>2.648E-2</c:v>
                </c:pt>
                <c:pt idx="388">
                  <c:v>0</c:v>
                </c:pt>
                <c:pt idx="389">
                  <c:v>1.3299999999999999E-2</c:v>
                </c:pt>
                <c:pt idx="390">
                  <c:v>0.10287</c:v>
                </c:pt>
                <c:pt idx="391">
                  <c:v>1.32E-2</c:v>
                </c:pt>
                <c:pt idx="392">
                  <c:v>2.111E-2</c:v>
                </c:pt>
                <c:pt idx="393">
                  <c:v>7.6730000000000007E-2</c:v>
                </c:pt>
                <c:pt idx="394">
                  <c:v>3.4639999999999997E-2</c:v>
                </c:pt>
                <c:pt idx="395">
                  <c:v>5.7079999999999999E-2</c:v>
                </c:pt>
                <c:pt idx="396">
                  <c:v>8.702E-2</c:v>
                </c:pt>
                <c:pt idx="397">
                  <c:v>8.9700000000000005E-3</c:v>
                </c:pt>
                <c:pt idx="398">
                  <c:v>5.5329999999999997E-2</c:v>
                </c:pt>
                <c:pt idx="399">
                  <c:v>0</c:v>
                </c:pt>
                <c:pt idx="400">
                  <c:v>0</c:v>
                </c:pt>
                <c:pt idx="401">
                  <c:v>3.04E-2</c:v>
                </c:pt>
                <c:pt idx="402">
                  <c:v>6.5250000000000002E-2</c:v>
                </c:pt>
                <c:pt idx="403">
                  <c:v>0.10598</c:v>
                </c:pt>
                <c:pt idx="404">
                  <c:v>1.057E-2</c:v>
                </c:pt>
                <c:pt idx="405">
                  <c:v>9.1329999999999995E-2</c:v>
                </c:pt>
                <c:pt idx="406">
                  <c:v>1.1259999999999999E-2</c:v>
                </c:pt>
                <c:pt idx="407">
                  <c:v>1.6889999999999999E-2</c:v>
                </c:pt>
                <c:pt idx="408">
                  <c:v>1.8849999999999999E-2</c:v>
                </c:pt>
                <c:pt idx="409">
                  <c:v>1.4149999999999999E-2</c:v>
                </c:pt>
                <c:pt idx="410">
                  <c:v>0</c:v>
                </c:pt>
                <c:pt idx="411">
                  <c:v>5.3670000000000002E-2</c:v>
                </c:pt>
                <c:pt idx="412">
                  <c:v>4.8480000000000002E-2</c:v>
                </c:pt>
                <c:pt idx="413">
                  <c:v>5.5799999999999999E-3</c:v>
                </c:pt>
                <c:pt idx="414">
                  <c:v>2.809E-2</c:v>
                </c:pt>
                <c:pt idx="415">
                  <c:v>8.8459999999999997E-2</c:v>
                </c:pt>
                <c:pt idx="416">
                  <c:v>2.6339999999999999E-2</c:v>
                </c:pt>
                <c:pt idx="417">
                  <c:v>0.20941000000000001</c:v>
                </c:pt>
                <c:pt idx="418">
                  <c:v>1.448E-2</c:v>
                </c:pt>
                <c:pt idx="419">
                  <c:v>5.0889999999999998E-2</c:v>
                </c:pt>
                <c:pt idx="420">
                  <c:v>2.3130000000000001E-2</c:v>
                </c:pt>
                <c:pt idx="421">
                  <c:v>4.1520000000000001E-2</c:v>
                </c:pt>
                <c:pt idx="422">
                  <c:v>1.806E-2</c:v>
                </c:pt>
                <c:pt idx="423">
                  <c:v>2.794E-2</c:v>
                </c:pt>
                <c:pt idx="424">
                  <c:v>1.7090000000000001E-2</c:v>
                </c:pt>
                <c:pt idx="425">
                  <c:v>4.9029999999999997E-2</c:v>
                </c:pt>
                <c:pt idx="426">
                  <c:v>8.2890000000000005E-2</c:v>
                </c:pt>
                <c:pt idx="427">
                  <c:v>0.12307999999999999</c:v>
                </c:pt>
                <c:pt idx="428">
                  <c:v>0</c:v>
                </c:pt>
                <c:pt idx="429">
                  <c:v>0.10655000000000001</c:v>
                </c:pt>
                <c:pt idx="430">
                  <c:v>8.2299999999999995E-3</c:v>
                </c:pt>
                <c:pt idx="431">
                  <c:v>7.6749999999999999E-2</c:v>
                </c:pt>
                <c:pt idx="432">
                  <c:v>7.5520000000000004E-2</c:v>
                </c:pt>
                <c:pt idx="433">
                  <c:v>4.197E-2</c:v>
                </c:pt>
                <c:pt idx="434">
                  <c:v>5.1720000000000002E-2</c:v>
                </c:pt>
                <c:pt idx="435">
                  <c:v>3.0640000000000001E-2</c:v>
                </c:pt>
                <c:pt idx="436">
                  <c:v>5.781E-2</c:v>
                </c:pt>
                <c:pt idx="437">
                  <c:v>5.6399999999999999E-2</c:v>
                </c:pt>
                <c:pt idx="438">
                  <c:v>3.9489999999999997E-2</c:v>
                </c:pt>
                <c:pt idx="439">
                  <c:v>0</c:v>
                </c:pt>
                <c:pt idx="440">
                  <c:v>4.5170000000000002E-2</c:v>
                </c:pt>
                <c:pt idx="441">
                  <c:v>4.5170000000000002E-2</c:v>
                </c:pt>
                <c:pt idx="442">
                  <c:v>9.4350000000000003E-2</c:v>
                </c:pt>
                <c:pt idx="443">
                  <c:v>6.4900000000000001E-3</c:v>
                </c:pt>
                <c:pt idx="444">
                  <c:v>0</c:v>
                </c:pt>
                <c:pt idx="445">
                  <c:v>0</c:v>
                </c:pt>
                <c:pt idx="446">
                  <c:v>2.333E-2</c:v>
                </c:pt>
                <c:pt idx="447">
                  <c:v>2.5999999999999999E-2</c:v>
                </c:pt>
                <c:pt idx="448">
                  <c:v>0.10943</c:v>
                </c:pt>
                <c:pt idx="449">
                  <c:v>7.3580000000000007E-2</c:v>
                </c:pt>
                <c:pt idx="450">
                  <c:v>6.8999999999999999E-3</c:v>
                </c:pt>
                <c:pt idx="451">
                  <c:v>0.19442000000000001</c:v>
                </c:pt>
                <c:pt idx="452">
                  <c:v>1.9949999999999999E-2</c:v>
                </c:pt>
                <c:pt idx="453">
                  <c:v>1.789E-2</c:v>
                </c:pt>
                <c:pt idx="454">
                  <c:v>1.789E-2</c:v>
                </c:pt>
                <c:pt idx="455">
                  <c:v>1.643E-2</c:v>
                </c:pt>
                <c:pt idx="456">
                  <c:v>1.643E-2</c:v>
                </c:pt>
                <c:pt idx="457">
                  <c:v>1.643E-2</c:v>
                </c:pt>
                <c:pt idx="458">
                  <c:v>4.8379999999999999E-2</c:v>
                </c:pt>
                <c:pt idx="459">
                  <c:v>8.6199999999999992E-3</c:v>
                </c:pt>
                <c:pt idx="460">
                  <c:v>3.4049999999999997E-2</c:v>
                </c:pt>
                <c:pt idx="461">
                  <c:v>5.4030000000000002E-2</c:v>
                </c:pt>
                <c:pt idx="462">
                  <c:v>5.7209999999999997E-2</c:v>
                </c:pt>
                <c:pt idx="463">
                  <c:v>0</c:v>
                </c:pt>
                <c:pt idx="464">
                  <c:v>0.14179</c:v>
                </c:pt>
                <c:pt idx="465">
                  <c:v>0.17648</c:v>
                </c:pt>
                <c:pt idx="466">
                  <c:v>1.7319999999999999E-2</c:v>
                </c:pt>
                <c:pt idx="467">
                  <c:v>0</c:v>
                </c:pt>
                <c:pt idx="468">
                  <c:v>2.453E-2</c:v>
                </c:pt>
                <c:pt idx="469">
                  <c:v>2.9839999999999998E-2</c:v>
                </c:pt>
                <c:pt idx="470">
                  <c:v>8.6010000000000003E-2</c:v>
                </c:pt>
                <c:pt idx="471">
                  <c:v>5.4809999999999998E-2</c:v>
                </c:pt>
                <c:pt idx="472">
                  <c:v>2.9590000000000002E-2</c:v>
                </c:pt>
                <c:pt idx="473">
                  <c:v>0.11801</c:v>
                </c:pt>
                <c:pt idx="474">
                  <c:v>3.4160000000000003E-2</c:v>
                </c:pt>
                <c:pt idx="475">
                  <c:v>0</c:v>
                </c:pt>
                <c:pt idx="476">
                  <c:v>5.6309999999999999E-2</c:v>
                </c:pt>
                <c:pt idx="477">
                  <c:v>0.10206999999999999</c:v>
                </c:pt>
                <c:pt idx="478">
                  <c:v>0.13159000000000001</c:v>
                </c:pt>
                <c:pt idx="479">
                  <c:v>8.6400000000000001E-3</c:v>
                </c:pt>
                <c:pt idx="480">
                  <c:v>5.1749999999999997E-2</c:v>
                </c:pt>
                <c:pt idx="481">
                  <c:v>0.22691</c:v>
                </c:pt>
                <c:pt idx="482">
                  <c:v>0.18525</c:v>
                </c:pt>
                <c:pt idx="483">
                  <c:v>3.8800000000000002E-3</c:v>
                </c:pt>
                <c:pt idx="484">
                  <c:v>1.737E-2</c:v>
                </c:pt>
                <c:pt idx="485">
                  <c:v>0</c:v>
                </c:pt>
                <c:pt idx="486">
                  <c:v>4.0809999999999999E-2</c:v>
                </c:pt>
                <c:pt idx="487">
                  <c:v>3.116E-2</c:v>
                </c:pt>
                <c:pt idx="488">
                  <c:v>7.5289999999999996E-2</c:v>
                </c:pt>
                <c:pt idx="489">
                  <c:v>0.17363999999999999</c:v>
                </c:pt>
                <c:pt idx="490">
                  <c:v>3.7769999999999998E-2</c:v>
                </c:pt>
                <c:pt idx="491">
                  <c:v>6.1809999999999997E-2</c:v>
                </c:pt>
                <c:pt idx="492">
                  <c:v>7.6499999999999997E-3</c:v>
                </c:pt>
                <c:pt idx="493">
                  <c:v>1.302E-2</c:v>
                </c:pt>
                <c:pt idx="494">
                  <c:v>5.987E-2</c:v>
                </c:pt>
                <c:pt idx="495">
                  <c:v>0.1178</c:v>
                </c:pt>
                <c:pt idx="496">
                  <c:v>3.3210000000000003E-2</c:v>
                </c:pt>
                <c:pt idx="497">
                  <c:v>0</c:v>
                </c:pt>
                <c:pt idx="498">
                  <c:v>2.4490000000000001E-2</c:v>
                </c:pt>
                <c:pt idx="499">
                  <c:v>5.0600000000000003E-3</c:v>
                </c:pt>
                <c:pt idx="500">
                  <c:v>5.8549999999999998E-2</c:v>
                </c:pt>
                <c:pt idx="501">
                  <c:v>7.4550000000000005E-2</c:v>
                </c:pt>
                <c:pt idx="502">
                  <c:v>2.3140000000000001E-2</c:v>
                </c:pt>
                <c:pt idx="503">
                  <c:v>2.3140000000000001E-2</c:v>
                </c:pt>
                <c:pt idx="504">
                  <c:v>1.307E-2</c:v>
                </c:pt>
                <c:pt idx="505">
                  <c:v>3.2340000000000001E-2</c:v>
                </c:pt>
                <c:pt idx="506">
                  <c:v>0.13159000000000001</c:v>
                </c:pt>
                <c:pt idx="507">
                  <c:v>3.4680000000000002E-2</c:v>
                </c:pt>
                <c:pt idx="508">
                  <c:v>6.8399999999999997E-3</c:v>
                </c:pt>
                <c:pt idx="509">
                  <c:v>0</c:v>
                </c:pt>
                <c:pt idx="510">
                  <c:v>3.0880000000000001E-2</c:v>
                </c:pt>
                <c:pt idx="511">
                  <c:v>3.8240000000000003E-2</c:v>
                </c:pt>
                <c:pt idx="512">
                  <c:v>7.1870000000000003E-2</c:v>
                </c:pt>
                <c:pt idx="513">
                  <c:v>0.18690000000000001</c:v>
                </c:pt>
                <c:pt idx="514">
                  <c:v>2.2409999999999999E-2</c:v>
                </c:pt>
                <c:pt idx="515">
                  <c:v>2.981E-2</c:v>
                </c:pt>
                <c:pt idx="516">
                  <c:v>2.1829999999999999E-2</c:v>
                </c:pt>
                <c:pt idx="517">
                  <c:v>5.1499999999999997E-2</c:v>
                </c:pt>
                <c:pt idx="518">
                  <c:v>1.4840000000000001E-2</c:v>
                </c:pt>
                <c:pt idx="519">
                  <c:v>0</c:v>
                </c:pt>
                <c:pt idx="520">
                  <c:v>0</c:v>
                </c:pt>
                <c:pt idx="521">
                  <c:v>4.4060000000000002E-2</c:v>
                </c:pt>
                <c:pt idx="522">
                  <c:v>2.3599999999999999E-2</c:v>
                </c:pt>
                <c:pt idx="523">
                  <c:v>2.802E-2</c:v>
                </c:pt>
                <c:pt idx="524">
                  <c:v>2.3550000000000001E-2</c:v>
                </c:pt>
                <c:pt idx="525">
                  <c:v>2.8080000000000001E-2</c:v>
                </c:pt>
                <c:pt idx="526">
                  <c:v>3.8379999999999997E-2</c:v>
                </c:pt>
                <c:pt idx="527">
                  <c:v>1.787E-2</c:v>
                </c:pt>
                <c:pt idx="528">
                  <c:v>3.0519999999999999E-2</c:v>
                </c:pt>
                <c:pt idx="529">
                  <c:v>1.7239999999999998E-2</c:v>
                </c:pt>
                <c:pt idx="530">
                  <c:v>4.1419999999999998E-2</c:v>
                </c:pt>
                <c:pt idx="531">
                  <c:v>2.1350000000000001E-2</c:v>
                </c:pt>
                <c:pt idx="532">
                  <c:v>2.0820000000000002E-2</c:v>
                </c:pt>
                <c:pt idx="533">
                  <c:v>2.0820000000000002E-2</c:v>
                </c:pt>
                <c:pt idx="534">
                  <c:v>2.0820000000000002E-2</c:v>
                </c:pt>
                <c:pt idx="535">
                  <c:v>2.0820000000000002E-2</c:v>
                </c:pt>
                <c:pt idx="536">
                  <c:v>0.30758000000000002</c:v>
                </c:pt>
                <c:pt idx="537">
                  <c:v>1.0840000000000001E-2</c:v>
                </c:pt>
                <c:pt idx="538">
                  <c:v>0</c:v>
                </c:pt>
                <c:pt idx="539">
                  <c:v>1.133E-2</c:v>
                </c:pt>
                <c:pt idx="540">
                  <c:v>8.9999999999999993E-3</c:v>
                </c:pt>
                <c:pt idx="541">
                  <c:v>3.6240000000000001E-2</c:v>
                </c:pt>
                <c:pt idx="542">
                  <c:v>2.894E-2</c:v>
                </c:pt>
                <c:pt idx="543">
                  <c:v>0</c:v>
                </c:pt>
                <c:pt idx="544">
                  <c:v>4.759E-2</c:v>
                </c:pt>
                <c:pt idx="545">
                  <c:v>2.3099999999999999E-2</c:v>
                </c:pt>
                <c:pt idx="546">
                  <c:v>2.1260000000000001E-2</c:v>
                </c:pt>
                <c:pt idx="547">
                  <c:v>4.895E-2</c:v>
                </c:pt>
                <c:pt idx="548">
                  <c:v>2.9819999999999999E-2</c:v>
                </c:pt>
                <c:pt idx="549">
                  <c:v>1.3339999999999999E-2</c:v>
                </c:pt>
                <c:pt idx="550">
                  <c:v>0</c:v>
                </c:pt>
                <c:pt idx="551">
                  <c:v>4.4049999999999999E-2</c:v>
                </c:pt>
                <c:pt idx="552">
                  <c:v>1.065E-2</c:v>
                </c:pt>
                <c:pt idx="553">
                  <c:v>8.7929999999999994E-2</c:v>
                </c:pt>
                <c:pt idx="554">
                  <c:v>3.6089999999999997E-2</c:v>
                </c:pt>
                <c:pt idx="555">
                  <c:v>0.1361</c:v>
                </c:pt>
                <c:pt idx="556">
                  <c:v>8.8679999999999995E-2</c:v>
                </c:pt>
                <c:pt idx="557">
                  <c:v>1.285E-2</c:v>
                </c:pt>
                <c:pt idx="558">
                  <c:v>3.9699999999999996E-3</c:v>
                </c:pt>
                <c:pt idx="559">
                  <c:v>5.0700000000000002E-2</c:v>
                </c:pt>
                <c:pt idx="560">
                  <c:v>4.9369999999999997E-2</c:v>
                </c:pt>
                <c:pt idx="561">
                  <c:v>3.4889999999999997E-2</c:v>
                </c:pt>
                <c:pt idx="562">
                  <c:v>8.9029999999999998E-2</c:v>
                </c:pt>
                <c:pt idx="563">
                  <c:v>2.844E-2</c:v>
                </c:pt>
                <c:pt idx="564">
                  <c:v>9.8700000000000003E-3</c:v>
                </c:pt>
                <c:pt idx="565">
                  <c:v>0</c:v>
                </c:pt>
                <c:pt idx="566">
                  <c:v>0</c:v>
                </c:pt>
                <c:pt idx="567">
                  <c:v>2.1520000000000001E-2</c:v>
                </c:pt>
                <c:pt idx="568">
                  <c:v>0</c:v>
                </c:pt>
                <c:pt idx="569">
                  <c:v>3.5479999999999998E-2</c:v>
                </c:pt>
                <c:pt idx="570">
                  <c:v>6.9300000000000004E-3</c:v>
                </c:pt>
                <c:pt idx="571">
                  <c:v>0.11012</c:v>
                </c:pt>
                <c:pt idx="572">
                  <c:v>1.9560000000000001E-2</c:v>
                </c:pt>
                <c:pt idx="573">
                  <c:v>1.291E-2</c:v>
                </c:pt>
                <c:pt idx="574">
                  <c:v>0.25509999999999999</c:v>
                </c:pt>
                <c:pt idx="575">
                  <c:v>4.7870000000000003E-2</c:v>
                </c:pt>
                <c:pt idx="576">
                  <c:v>0</c:v>
                </c:pt>
                <c:pt idx="577">
                  <c:v>1.4200000000000001E-2</c:v>
                </c:pt>
                <c:pt idx="578">
                  <c:v>0.10954999999999999</c:v>
                </c:pt>
                <c:pt idx="579">
                  <c:v>2.545E-2</c:v>
                </c:pt>
                <c:pt idx="580">
                  <c:v>0.15023</c:v>
                </c:pt>
                <c:pt idx="581">
                  <c:v>0.1288</c:v>
                </c:pt>
                <c:pt idx="582">
                  <c:v>0.18124000000000001</c:v>
                </c:pt>
                <c:pt idx="583">
                  <c:v>0.11028</c:v>
                </c:pt>
                <c:pt idx="584">
                  <c:v>0.22473000000000001</c:v>
                </c:pt>
                <c:pt idx="585">
                  <c:v>2.913E-2</c:v>
                </c:pt>
                <c:pt idx="586">
                  <c:v>0</c:v>
                </c:pt>
                <c:pt idx="587">
                  <c:v>0.10477</c:v>
                </c:pt>
                <c:pt idx="588">
                  <c:v>5.5870000000000003E-2</c:v>
                </c:pt>
                <c:pt idx="589">
                  <c:v>0</c:v>
                </c:pt>
                <c:pt idx="590">
                  <c:v>2.249E-2</c:v>
                </c:pt>
                <c:pt idx="591">
                  <c:v>4.8189999999999997E-2</c:v>
                </c:pt>
                <c:pt idx="592">
                  <c:v>1.8620000000000001E-2</c:v>
                </c:pt>
                <c:pt idx="593">
                  <c:v>5.8110000000000002E-2</c:v>
                </c:pt>
                <c:pt idx="594">
                  <c:v>5.0699999999999999E-3</c:v>
                </c:pt>
                <c:pt idx="595">
                  <c:v>0</c:v>
                </c:pt>
                <c:pt idx="596">
                  <c:v>4.3279999999999999E-2</c:v>
                </c:pt>
                <c:pt idx="597">
                  <c:v>2.827E-2</c:v>
                </c:pt>
                <c:pt idx="598">
                  <c:v>1.4019999999999999E-2</c:v>
                </c:pt>
                <c:pt idx="599">
                  <c:v>4.7550000000000002E-2</c:v>
                </c:pt>
                <c:pt idx="600">
                  <c:v>3.8949999999999999E-2</c:v>
                </c:pt>
                <c:pt idx="601">
                  <c:v>5.0790000000000002E-2</c:v>
                </c:pt>
                <c:pt idx="602">
                  <c:v>0</c:v>
                </c:pt>
                <c:pt idx="603">
                  <c:v>0</c:v>
                </c:pt>
                <c:pt idx="604">
                  <c:v>0.10298</c:v>
                </c:pt>
                <c:pt idx="605">
                  <c:v>2.1389999999999999E-2</c:v>
                </c:pt>
                <c:pt idx="606">
                  <c:v>1.159E-2</c:v>
                </c:pt>
                <c:pt idx="607">
                  <c:v>7.7090000000000006E-2</c:v>
                </c:pt>
                <c:pt idx="608">
                  <c:v>3.705E-2</c:v>
                </c:pt>
                <c:pt idx="609">
                  <c:v>4.9020000000000001E-2</c:v>
                </c:pt>
                <c:pt idx="610">
                  <c:v>2.3390000000000001E-2</c:v>
                </c:pt>
                <c:pt idx="611">
                  <c:v>4.8059999999999999E-2</c:v>
                </c:pt>
                <c:pt idx="612">
                  <c:v>0</c:v>
                </c:pt>
                <c:pt idx="613">
                  <c:v>1.7309999999999999E-2</c:v>
                </c:pt>
                <c:pt idx="614">
                  <c:v>1.2919999999999999E-2</c:v>
                </c:pt>
                <c:pt idx="615">
                  <c:v>0</c:v>
                </c:pt>
                <c:pt idx="616">
                  <c:v>4.6980000000000001E-2</c:v>
                </c:pt>
                <c:pt idx="617">
                  <c:v>6.9779999999999995E-2</c:v>
                </c:pt>
                <c:pt idx="618">
                  <c:v>4.326E-2</c:v>
                </c:pt>
                <c:pt idx="619">
                  <c:v>5.2920000000000002E-2</c:v>
                </c:pt>
                <c:pt idx="620">
                  <c:v>5.1909999999999998E-2</c:v>
                </c:pt>
                <c:pt idx="621">
                  <c:v>0</c:v>
                </c:pt>
                <c:pt idx="622">
                  <c:v>2.3470000000000001E-2</c:v>
                </c:pt>
                <c:pt idx="623">
                  <c:v>4.725E-2</c:v>
                </c:pt>
                <c:pt idx="624">
                  <c:v>7.5579999999999994E-2</c:v>
                </c:pt>
                <c:pt idx="625">
                  <c:v>1.7680000000000001E-2</c:v>
                </c:pt>
                <c:pt idx="626">
                  <c:v>6.4200000000000004E-3</c:v>
                </c:pt>
                <c:pt idx="627">
                  <c:v>3.4610000000000002E-2</c:v>
                </c:pt>
                <c:pt idx="628">
                  <c:v>2.622E-2</c:v>
                </c:pt>
                <c:pt idx="629">
                  <c:v>1.188E-2</c:v>
                </c:pt>
                <c:pt idx="630">
                  <c:v>3.9230000000000001E-2</c:v>
                </c:pt>
                <c:pt idx="631">
                  <c:v>6.1440000000000002E-2</c:v>
                </c:pt>
                <c:pt idx="632">
                  <c:v>5.1369999999999999E-2</c:v>
                </c:pt>
                <c:pt idx="633">
                  <c:v>2.4930000000000001E-2</c:v>
                </c:pt>
                <c:pt idx="634">
                  <c:v>3.2969999999999999E-2</c:v>
                </c:pt>
                <c:pt idx="635">
                  <c:v>7.2319999999999995E-2</c:v>
                </c:pt>
                <c:pt idx="636">
                  <c:v>3.6560000000000002E-2</c:v>
                </c:pt>
                <c:pt idx="637">
                  <c:v>7.2020000000000001E-2</c:v>
                </c:pt>
                <c:pt idx="638">
                  <c:v>4.2659999999999997E-2</c:v>
                </c:pt>
                <c:pt idx="639">
                  <c:v>0.25206000000000001</c:v>
                </c:pt>
                <c:pt idx="640">
                  <c:v>0</c:v>
                </c:pt>
                <c:pt idx="641">
                  <c:v>1.0160000000000001E-2</c:v>
                </c:pt>
                <c:pt idx="642">
                  <c:v>9.128E-2</c:v>
                </c:pt>
                <c:pt idx="643">
                  <c:v>1.67E-2</c:v>
                </c:pt>
                <c:pt idx="644">
                  <c:v>1.7930000000000001E-2</c:v>
                </c:pt>
                <c:pt idx="645">
                  <c:v>3.218E-2</c:v>
                </c:pt>
                <c:pt idx="646">
                  <c:v>8.6889999999999995E-2</c:v>
                </c:pt>
                <c:pt idx="647">
                  <c:v>6.4949999999999994E-2</c:v>
                </c:pt>
                <c:pt idx="648">
                  <c:v>3.7109999999999997E-2</c:v>
                </c:pt>
                <c:pt idx="649">
                  <c:v>1.694E-2</c:v>
                </c:pt>
                <c:pt idx="650">
                  <c:v>1.472E-2</c:v>
                </c:pt>
                <c:pt idx="651">
                  <c:v>3.7879999999999997E-2</c:v>
                </c:pt>
                <c:pt idx="652">
                  <c:v>2.1149999999999999E-2</c:v>
                </c:pt>
                <c:pt idx="653">
                  <c:v>0.2195</c:v>
                </c:pt>
                <c:pt idx="654">
                  <c:v>7.3099999999999998E-2</c:v>
                </c:pt>
                <c:pt idx="655">
                  <c:v>2.6749999999999999E-2</c:v>
                </c:pt>
                <c:pt idx="656">
                  <c:v>2.5149999999999999E-2</c:v>
                </c:pt>
                <c:pt idx="657">
                  <c:v>1.6990000000000002E-2</c:v>
                </c:pt>
                <c:pt idx="658">
                  <c:v>0.12132</c:v>
                </c:pt>
                <c:pt idx="659">
                  <c:v>0.20222999999999999</c:v>
                </c:pt>
                <c:pt idx="660">
                  <c:v>2.4750000000000001E-2</c:v>
                </c:pt>
                <c:pt idx="661">
                  <c:v>4.3560000000000001E-2</c:v>
                </c:pt>
                <c:pt idx="662">
                  <c:v>2.615E-2</c:v>
                </c:pt>
                <c:pt idx="663">
                  <c:v>0.26401000000000002</c:v>
                </c:pt>
                <c:pt idx="664">
                  <c:v>8.1300000000000001E-3</c:v>
                </c:pt>
                <c:pt idx="665">
                  <c:v>3.3430000000000001E-2</c:v>
                </c:pt>
                <c:pt idx="666">
                  <c:v>0</c:v>
                </c:pt>
                <c:pt idx="667">
                  <c:v>0</c:v>
                </c:pt>
                <c:pt idx="668">
                  <c:v>8.7500000000000008E-3</c:v>
                </c:pt>
                <c:pt idx="669">
                  <c:v>5.4559999999999997E-2</c:v>
                </c:pt>
                <c:pt idx="670">
                  <c:v>7.7420000000000003E-2</c:v>
                </c:pt>
                <c:pt idx="671">
                  <c:v>0</c:v>
                </c:pt>
                <c:pt idx="672">
                  <c:v>0.12107</c:v>
                </c:pt>
                <c:pt idx="673">
                  <c:v>1.1639999999999999E-2</c:v>
                </c:pt>
                <c:pt idx="674">
                  <c:v>4.1309999999999999E-2</c:v>
                </c:pt>
                <c:pt idx="675">
                  <c:v>3.3300000000000003E-2</c:v>
                </c:pt>
                <c:pt idx="676">
                  <c:v>0</c:v>
                </c:pt>
                <c:pt idx="677">
                  <c:v>4.8230000000000002E-2</c:v>
                </c:pt>
                <c:pt idx="678">
                  <c:v>3.7690000000000001E-2</c:v>
                </c:pt>
                <c:pt idx="679">
                  <c:v>3.7690000000000001E-2</c:v>
                </c:pt>
                <c:pt idx="680">
                  <c:v>8.5139999999999993E-2</c:v>
                </c:pt>
                <c:pt idx="681">
                  <c:v>1.968E-2</c:v>
                </c:pt>
                <c:pt idx="682">
                  <c:v>6.0699999999999997E-2</c:v>
                </c:pt>
                <c:pt idx="683">
                  <c:v>0</c:v>
                </c:pt>
                <c:pt idx="684">
                  <c:v>7.9399999999999998E-2</c:v>
                </c:pt>
                <c:pt idx="685">
                  <c:v>7.8670000000000004E-2</c:v>
                </c:pt>
                <c:pt idx="686">
                  <c:v>2.0389999999999998E-2</c:v>
                </c:pt>
                <c:pt idx="687">
                  <c:v>3.8510000000000003E-2</c:v>
                </c:pt>
                <c:pt idx="688">
                  <c:v>4.2869999999999998E-2</c:v>
                </c:pt>
                <c:pt idx="689">
                  <c:v>1.397E-2</c:v>
                </c:pt>
                <c:pt idx="690">
                  <c:v>3.6569999999999998E-2</c:v>
                </c:pt>
                <c:pt idx="691">
                  <c:v>5.2220000000000003E-2</c:v>
                </c:pt>
                <c:pt idx="692">
                  <c:v>1.1860000000000001E-2</c:v>
                </c:pt>
                <c:pt idx="693">
                  <c:v>5.7000000000000002E-2</c:v>
                </c:pt>
                <c:pt idx="694">
                  <c:v>2.921E-2</c:v>
                </c:pt>
                <c:pt idx="695">
                  <c:v>2.0140000000000002E-2</c:v>
                </c:pt>
                <c:pt idx="696">
                  <c:v>0.42058000000000001</c:v>
                </c:pt>
                <c:pt idx="697">
                  <c:v>5.0770000000000003E-2</c:v>
                </c:pt>
                <c:pt idx="698">
                  <c:v>4.9700000000000001E-2</c:v>
                </c:pt>
                <c:pt idx="699">
                  <c:v>0.1116</c:v>
                </c:pt>
                <c:pt idx="700">
                  <c:v>4.3950000000000003E-2</c:v>
                </c:pt>
                <c:pt idx="701">
                  <c:v>3.32E-2</c:v>
                </c:pt>
                <c:pt idx="702">
                  <c:v>6.0729999999999999E-2</c:v>
                </c:pt>
                <c:pt idx="703">
                  <c:v>2.759E-2</c:v>
                </c:pt>
                <c:pt idx="704">
                  <c:v>0.13944999999999999</c:v>
                </c:pt>
                <c:pt idx="705">
                  <c:v>0.11069</c:v>
                </c:pt>
                <c:pt idx="706">
                  <c:v>8.2189999999999999E-2</c:v>
                </c:pt>
                <c:pt idx="707">
                  <c:v>0.12032</c:v>
                </c:pt>
                <c:pt idx="708">
                  <c:v>5.5559999999999998E-2</c:v>
                </c:pt>
                <c:pt idx="709">
                  <c:v>9.1189999999999993E-2</c:v>
                </c:pt>
                <c:pt idx="710">
                  <c:v>3.8769999999999999E-2</c:v>
                </c:pt>
                <c:pt idx="711">
                  <c:v>1.6140000000000002E-2</c:v>
                </c:pt>
                <c:pt idx="712">
                  <c:v>5.6820000000000002E-2</c:v>
                </c:pt>
                <c:pt idx="713">
                  <c:v>0.15093999999999999</c:v>
                </c:pt>
                <c:pt idx="714">
                  <c:v>5.1979999999999998E-2</c:v>
                </c:pt>
                <c:pt idx="715">
                  <c:v>2.3380000000000001E-2</c:v>
                </c:pt>
                <c:pt idx="716">
                  <c:v>4.7640000000000002E-2</c:v>
                </c:pt>
                <c:pt idx="717">
                  <c:v>1.6400000000000001E-2</c:v>
                </c:pt>
                <c:pt idx="718">
                  <c:v>0</c:v>
                </c:pt>
                <c:pt idx="719">
                  <c:v>2.4060000000000002E-2</c:v>
                </c:pt>
                <c:pt idx="720">
                  <c:v>9.0900000000000009E-3</c:v>
                </c:pt>
                <c:pt idx="721">
                  <c:v>1.073E-2</c:v>
                </c:pt>
                <c:pt idx="722">
                  <c:v>1.865E-2</c:v>
                </c:pt>
                <c:pt idx="723">
                  <c:v>0.19347</c:v>
                </c:pt>
                <c:pt idx="724">
                  <c:v>0</c:v>
                </c:pt>
                <c:pt idx="725">
                  <c:v>3.2899999999999999E-2</c:v>
                </c:pt>
                <c:pt idx="726">
                  <c:v>4.1459999999999997E-2</c:v>
                </c:pt>
                <c:pt idx="727">
                  <c:v>2.402E-2</c:v>
                </c:pt>
                <c:pt idx="728">
                  <c:v>3.7789999999999997E-2</c:v>
                </c:pt>
                <c:pt idx="729">
                  <c:v>9.8799999999999999E-3</c:v>
                </c:pt>
                <c:pt idx="730">
                  <c:v>2.4109999999999999E-2</c:v>
                </c:pt>
                <c:pt idx="731">
                  <c:v>2.7179999999999999E-2</c:v>
                </c:pt>
                <c:pt idx="732">
                  <c:v>3.227E-2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5-434A-ABB9-5D843BC5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5391"/>
        <c:axId val="160091183"/>
      </c:scatterChart>
      <c:valAx>
        <c:axId val="1702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GC_Skew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1183"/>
        <c:crosses val="autoZero"/>
        <c:crossBetween val="midCat"/>
      </c:valAx>
      <c:valAx>
        <c:axId val="1600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dN/dS vs. GC_Skew
(HO Genes)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ho!$BJ$4:$BJ$176</c:f>
              <c:numCache>
                <c:formatCode>General</c:formatCode>
                <c:ptCount val="173"/>
                <c:pt idx="0">
                  <c:v>7.5187969924812E-3</c:v>
                </c:pt>
                <c:pt idx="1">
                  <c:v>0.116279069767441</c:v>
                </c:pt>
                <c:pt idx="2">
                  <c:v>-0.122807017543859</c:v>
                </c:pt>
                <c:pt idx="3">
                  <c:v>-0.10204081632653</c:v>
                </c:pt>
                <c:pt idx="4">
                  <c:v>1.4925373134328301E-2</c:v>
                </c:pt>
                <c:pt idx="5">
                  <c:v>-0.12676056338028099</c:v>
                </c:pt>
                <c:pt idx="6">
                  <c:v>2.6315789473684199E-2</c:v>
                </c:pt>
                <c:pt idx="7">
                  <c:v>-7.69230769230769E-2</c:v>
                </c:pt>
                <c:pt idx="8">
                  <c:v>6.7226890756302504E-2</c:v>
                </c:pt>
                <c:pt idx="9">
                  <c:v>2.0833333333333301E-2</c:v>
                </c:pt>
                <c:pt idx="10">
                  <c:v>-0.25581395348837199</c:v>
                </c:pt>
                <c:pt idx="11">
                  <c:v>-0.116483516483516</c:v>
                </c:pt>
                <c:pt idx="12">
                  <c:v>-2.71903323262839E-2</c:v>
                </c:pt>
                <c:pt idx="13">
                  <c:v>-3.6144578313252997E-2</c:v>
                </c:pt>
                <c:pt idx="14">
                  <c:v>-8.1481481481481405E-2</c:v>
                </c:pt>
                <c:pt idx="15">
                  <c:v>-6.25E-2</c:v>
                </c:pt>
                <c:pt idx="16">
                  <c:v>-5.8252427184466E-2</c:v>
                </c:pt>
                <c:pt idx="17">
                  <c:v>-0.20805369127516701</c:v>
                </c:pt>
                <c:pt idx="18">
                  <c:v>-0.151785714285714</c:v>
                </c:pt>
                <c:pt idx="19">
                  <c:v>-9.8360655737704902E-2</c:v>
                </c:pt>
                <c:pt idx="20">
                  <c:v>-0.146666666666666</c:v>
                </c:pt>
                <c:pt idx="21">
                  <c:v>-6.0402684563758302E-2</c:v>
                </c:pt>
                <c:pt idx="22">
                  <c:v>7.69230769230769E-2</c:v>
                </c:pt>
                <c:pt idx="23">
                  <c:v>-5.3763440860214999E-2</c:v>
                </c:pt>
                <c:pt idx="24">
                  <c:v>-9.0909090909090898E-2</c:v>
                </c:pt>
                <c:pt idx="25">
                  <c:v>1.72413793103448E-2</c:v>
                </c:pt>
                <c:pt idx="26">
                  <c:v>0.10091743119266</c:v>
                </c:pt>
                <c:pt idx="27">
                  <c:v>-0.16</c:v>
                </c:pt>
                <c:pt idx="28">
                  <c:v>0.05</c:v>
                </c:pt>
                <c:pt idx="29">
                  <c:v>-2.15827338129496E-2</c:v>
                </c:pt>
                <c:pt idx="30">
                  <c:v>-6.2111801242236003E-2</c:v>
                </c:pt>
                <c:pt idx="31">
                  <c:v>-0.114914425427872</c:v>
                </c:pt>
                <c:pt idx="32">
                  <c:v>5.3497942386831199E-2</c:v>
                </c:pt>
                <c:pt idx="33">
                  <c:v>-0.15686274509803899</c:v>
                </c:pt>
                <c:pt idx="34">
                  <c:v>0</c:v>
                </c:pt>
                <c:pt idx="35">
                  <c:v>9.0277777777777707E-2</c:v>
                </c:pt>
                <c:pt idx="36">
                  <c:v>9.7345132743362803E-2</c:v>
                </c:pt>
                <c:pt idx="37">
                  <c:v>2.40549828178694E-2</c:v>
                </c:pt>
                <c:pt idx="38">
                  <c:v>-1.0810810810810799E-2</c:v>
                </c:pt>
                <c:pt idx="39">
                  <c:v>-9.5744680851063801E-2</c:v>
                </c:pt>
                <c:pt idx="40">
                  <c:v>1.0752688172042999E-2</c:v>
                </c:pt>
                <c:pt idx="41">
                  <c:v>-3.125E-2</c:v>
                </c:pt>
                <c:pt idx="42">
                  <c:v>-4.1666666666666602E-2</c:v>
                </c:pt>
                <c:pt idx="43">
                  <c:v>0</c:v>
                </c:pt>
                <c:pt idx="44">
                  <c:v>-4.9382716049382699E-2</c:v>
                </c:pt>
                <c:pt idx="45">
                  <c:v>-0.30769230769230699</c:v>
                </c:pt>
                <c:pt idx="46">
                  <c:v>-0.17857142857142799</c:v>
                </c:pt>
                <c:pt idx="47">
                  <c:v>0</c:v>
                </c:pt>
                <c:pt idx="48">
                  <c:v>4.6632124352331598E-2</c:v>
                </c:pt>
                <c:pt idx="49">
                  <c:v>-3.5211267605633798E-2</c:v>
                </c:pt>
                <c:pt idx="50">
                  <c:v>-5.7534246575342403E-2</c:v>
                </c:pt>
                <c:pt idx="51">
                  <c:v>3.1518624641833803E-2</c:v>
                </c:pt>
                <c:pt idx="52">
                  <c:v>-0.28301886792452802</c:v>
                </c:pt>
                <c:pt idx="53">
                  <c:v>-0.04</c:v>
                </c:pt>
                <c:pt idx="54">
                  <c:v>-0.16595744680850999</c:v>
                </c:pt>
                <c:pt idx="55">
                  <c:v>3.2258064516128997E-2</c:v>
                </c:pt>
                <c:pt idx="56">
                  <c:v>-8.4745762711864403E-2</c:v>
                </c:pt>
                <c:pt idx="57">
                  <c:v>-2.9239766081871298E-2</c:v>
                </c:pt>
                <c:pt idx="58">
                  <c:v>-0.202672605790645</c:v>
                </c:pt>
                <c:pt idx="59">
                  <c:v>2.9850746268656699E-2</c:v>
                </c:pt>
                <c:pt idx="60">
                  <c:v>-0.15942028985507201</c:v>
                </c:pt>
                <c:pt idx="61">
                  <c:v>9.5808383233532898E-2</c:v>
                </c:pt>
                <c:pt idx="62">
                  <c:v>-8.5201793721972993E-2</c:v>
                </c:pt>
                <c:pt idx="63">
                  <c:v>-0.105084745762711</c:v>
                </c:pt>
                <c:pt idx="64">
                  <c:v>0.109090909090909</c:v>
                </c:pt>
                <c:pt idx="65">
                  <c:v>-3.8610038610038598E-3</c:v>
                </c:pt>
                <c:pt idx="66">
                  <c:v>7.3825503355704702E-2</c:v>
                </c:pt>
                <c:pt idx="67">
                  <c:v>7.3529411764705803E-3</c:v>
                </c:pt>
                <c:pt idx="68">
                  <c:v>-6.4102564102564097E-2</c:v>
                </c:pt>
                <c:pt idx="69">
                  <c:v>-1.50375939849624E-2</c:v>
                </c:pt>
                <c:pt idx="70">
                  <c:v>8.8709677419354802E-2</c:v>
                </c:pt>
                <c:pt idx="71">
                  <c:v>-9.0909090909090898E-2</c:v>
                </c:pt>
                <c:pt idx="72">
                  <c:v>-0.11688311688311601</c:v>
                </c:pt>
                <c:pt idx="73">
                  <c:v>-0.25190839694656397</c:v>
                </c:pt>
                <c:pt idx="74">
                  <c:v>0</c:v>
                </c:pt>
                <c:pt idx="75">
                  <c:v>-3.4246575342465703E-2</c:v>
                </c:pt>
                <c:pt idx="76">
                  <c:v>-9.0909090909090898E-2</c:v>
                </c:pt>
                <c:pt idx="77">
                  <c:v>-5.9952038369304503E-2</c:v>
                </c:pt>
                <c:pt idx="78">
                  <c:v>2.5578562728380001E-2</c:v>
                </c:pt>
                <c:pt idx="79">
                  <c:v>-0.16853932584269599</c:v>
                </c:pt>
                <c:pt idx="80">
                  <c:v>-8.4033613445378096E-3</c:v>
                </c:pt>
                <c:pt idx="81">
                  <c:v>1.9493177387914201E-3</c:v>
                </c:pt>
                <c:pt idx="82">
                  <c:v>7.8651685393258397E-2</c:v>
                </c:pt>
                <c:pt idx="83">
                  <c:v>-0.14074074074074</c:v>
                </c:pt>
                <c:pt idx="84">
                  <c:v>1.4836795252225501E-2</c:v>
                </c:pt>
                <c:pt idx="85">
                  <c:v>3.1161473087818602E-2</c:v>
                </c:pt>
                <c:pt idx="86">
                  <c:v>-7.8125E-2</c:v>
                </c:pt>
                <c:pt idx="87">
                  <c:v>0.21839080459770099</c:v>
                </c:pt>
                <c:pt idx="88">
                  <c:v>-9.7744360902255606E-2</c:v>
                </c:pt>
                <c:pt idx="89">
                  <c:v>-0.203007518796992</c:v>
                </c:pt>
                <c:pt idx="90">
                  <c:v>-8.8607594936708806E-2</c:v>
                </c:pt>
                <c:pt idx="91">
                  <c:v>0.22155688622754399</c:v>
                </c:pt>
                <c:pt idx="92">
                  <c:v>-2.9535864978902902E-2</c:v>
                </c:pt>
                <c:pt idx="93">
                  <c:v>-5.8823529411764698E-2</c:v>
                </c:pt>
                <c:pt idx="94">
                  <c:v>-4.1474654377880102E-2</c:v>
                </c:pt>
                <c:pt idx="95">
                  <c:v>-4.4247787610619399E-2</c:v>
                </c:pt>
                <c:pt idx="96">
                  <c:v>-0.22448979591836701</c:v>
                </c:pt>
                <c:pt idx="97">
                  <c:v>2.0512820512820499E-2</c:v>
                </c:pt>
                <c:pt idx="98">
                  <c:v>2.4271844660194102E-2</c:v>
                </c:pt>
                <c:pt idx="99">
                  <c:v>-3.4540859309182798E-2</c:v>
                </c:pt>
                <c:pt idx="100">
                  <c:v>9.1743119266054999E-3</c:v>
                </c:pt>
                <c:pt idx="101">
                  <c:v>-0.10294117647058799</c:v>
                </c:pt>
                <c:pt idx="102">
                  <c:v>-4.1666666666666602E-2</c:v>
                </c:pt>
                <c:pt idx="103">
                  <c:v>-2.53164556962025E-2</c:v>
                </c:pt>
                <c:pt idx="104">
                  <c:v>-0.265060240963855</c:v>
                </c:pt>
                <c:pt idx="105">
                  <c:v>-1.19521912350597E-2</c:v>
                </c:pt>
                <c:pt idx="106">
                  <c:v>-7.4492099322799099E-2</c:v>
                </c:pt>
                <c:pt idx="107">
                  <c:v>-6.4788732394366194E-2</c:v>
                </c:pt>
                <c:pt idx="108">
                  <c:v>-5.5934515688949499E-2</c:v>
                </c:pt>
                <c:pt idx="109">
                  <c:v>-0.37254901960784298</c:v>
                </c:pt>
                <c:pt idx="110">
                  <c:v>-4.0935672514619798E-2</c:v>
                </c:pt>
                <c:pt idx="111">
                  <c:v>-3.6789297658862803E-2</c:v>
                </c:pt>
                <c:pt idx="112">
                  <c:v>-9.8360655737704902E-2</c:v>
                </c:pt>
                <c:pt idx="113">
                  <c:v>0</c:v>
                </c:pt>
                <c:pt idx="114">
                  <c:v>-4.7120418848167499E-2</c:v>
                </c:pt>
                <c:pt idx="115">
                  <c:v>9.0598290598290596E-2</c:v>
                </c:pt>
                <c:pt idx="116">
                  <c:v>1.6528925619834701E-2</c:v>
                </c:pt>
                <c:pt idx="117">
                  <c:v>3.125E-2</c:v>
                </c:pt>
                <c:pt idx="118">
                  <c:v>-4.49438202247191E-2</c:v>
                </c:pt>
                <c:pt idx="119">
                  <c:v>-0.102652825836216</c:v>
                </c:pt>
                <c:pt idx="120">
                  <c:v>-1.85185185185185E-2</c:v>
                </c:pt>
                <c:pt idx="121">
                  <c:v>-0.24242424242424199</c:v>
                </c:pt>
                <c:pt idx="122">
                  <c:v>-7.69230769230769E-2</c:v>
                </c:pt>
                <c:pt idx="123">
                  <c:v>-0.106508875739644</c:v>
                </c:pt>
                <c:pt idx="124">
                  <c:v>-0.183098591549295</c:v>
                </c:pt>
                <c:pt idx="125">
                  <c:v>-2.2900763358778602E-2</c:v>
                </c:pt>
                <c:pt idx="126">
                  <c:v>-9.9526066350710901E-2</c:v>
                </c:pt>
                <c:pt idx="127">
                  <c:v>-7.0967741935483802E-2</c:v>
                </c:pt>
                <c:pt idx="128">
                  <c:v>-0.105263157894736</c:v>
                </c:pt>
                <c:pt idx="129">
                  <c:v>1.5094339622641499E-2</c:v>
                </c:pt>
                <c:pt idx="130">
                  <c:v>-7.3825503355704702E-2</c:v>
                </c:pt>
                <c:pt idx="131">
                  <c:v>-0.140350877192982</c:v>
                </c:pt>
                <c:pt idx="132">
                  <c:v>-7.22433460076045E-2</c:v>
                </c:pt>
                <c:pt idx="133">
                  <c:v>3.1141868512110701E-2</c:v>
                </c:pt>
                <c:pt idx="134">
                  <c:v>-9.0909090909090898E-2</c:v>
                </c:pt>
                <c:pt idx="135">
                  <c:v>-2.2222222222222199E-2</c:v>
                </c:pt>
                <c:pt idx="136">
                  <c:v>-2.77078085642317E-2</c:v>
                </c:pt>
                <c:pt idx="137">
                  <c:v>0.14074074074074</c:v>
                </c:pt>
                <c:pt idx="138">
                  <c:v>-1.6949152542372801E-2</c:v>
                </c:pt>
                <c:pt idx="139">
                  <c:v>3.47003154574132E-2</c:v>
                </c:pt>
                <c:pt idx="140">
                  <c:v>-0.125</c:v>
                </c:pt>
                <c:pt idx="141">
                  <c:v>-2.3529411764705799E-2</c:v>
                </c:pt>
                <c:pt idx="142">
                  <c:v>2.7989821882951599E-2</c:v>
                </c:pt>
                <c:pt idx="143">
                  <c:v>-9.9447513812154595E-2</c:v>
                </c:pt>
                <c:pt idx="144">
                  <c:v>3.9274924471299003E-2</c:v>
                </c:pt>
                <c:pt idx="145">
                  <c:v>-7.1748878923766801E-2</c:v>
                </c:pt>
                <c:pt idx="146">
                  <c:v>-2.2471910112359501E-2</c:v>
                </c:pt>
                <c:pt idx="147">
                  <c:v>-7.5187969924812E-3</c:v>
                </c:pt>
                <c:pt idx="148">
                  <c:v>0.157894736842105</c:v>
                </c:pt>
                <c:pt idx="149">
                  <c:v>3.2258064516128997E-2</c:v>
                </c:pt>
                <c:pt idx="150">
                  <c:v>5.8139534883720902E-2</c:v>
                </c:pt>
                <c:pt idx="151">
                  <c:v>-7.9365079365079305E-2</c:v>
                </c:pt>
                <c:pt idx="152">
                  <c:v>-2.3121387283236899E-2</c:v>
                </c:pt>
                <c:pt idx="153">
                  <c:v>-3.7974683544303799E-2</c:v>
                </c:pt>
                <c:pt idx="154">
                  <c:v>-0.10160427807486599</c:v>
                </c:pt>
                <c:pt idx="155">
                  <c:v>-9.0909090909090898E-2</c:v>
                </c:pt>
                <c:pt idx="156">
                  <c:v>-2.4930747922437602E-2</c:v>
                </c:pt>
                <c:pt idx="157">
                  <c:v>-1.11731843575419E-2</c:v>
                </c:pt>
                <c:pt idx="158">
                  <c:v>-0.27659574468085102</c:v>
                </c:pt>
                <c:pt idx="159">
                  <c:v>-2.5641025641025599E-2</c:v>
                </c:pt>
                <c:pt idx="160">
                  <c:v>-2.7027027027027001E-2</c:v>
                </c:pt>
                <c:pt idx="161">
                  <c:v>-0.108695652173913</c:v>
                </c:pt>
                <c:pt idx="162">
                  <c:v>0.02</c:v>
                </c:pt>
                <c:pt idx="163">
                  <c:v>7.9365079365079305E-2</c:v>
                </c:pt>
                <c:pt idx="164">
                  <c:v>-3.4482758620689599E-2</c:v>
                </c:pt>
                <c:pt idx="165">
                  <c:v>-0.16814159292035399</c:v>
                </c:pt>
                <c:pt idx="166">
                  <c:v>-0.133333333333333</c:v>
                </c:pt>
                <c:pt idx="167">
                  <c:v>-7.2164948453608199E-2</c:v>
                </c:pt>
                <c:pt idx="168">
                  <c:v>-4.6979865771811999E-2</c:v>
                </c:pt>
                <c:pt idx="169">
                  <c:v>4.6511627906976702E-2</c:v>
                </c:pt>
                <c:pt idx="170">
                  <c:v>-0.129870129870129</c:v>
                </c:pt>
                <c:pt idx="171">
                  <c:v>0.17857142857142799</c:v>
                </c:pt>
                <c:pt idx="172">
                  <c:v>-0.26724137931034397</c:v>
                </c:pt>
              </c:numCache>
            </c:numRef>
          </c:xVal>
          <c:yVal>
            <c:numRef>
              <c:f>ho!$BI$4:$BI$176</c:f>
              <c:numCache>
                <c:formatCode>General</c:formatCode>
                <c:ptCount val="173"/>
                <c:pt idx="0">
                  <c:v>2.09653</c:v>
                </c:pt>
                <c:pt idx="1">
                  <c:v>0.98065999999999998</c:v>
                </c:pt>
                <c:pt idx="2">
                  <c:v>0.49342000000000003</c:v>
                </c:pt>
                <c:pt idx="3">
                  <c:v>0.49206</c:v>
                </c:pt>
                <c:pt idx="4">
                  <c:v>0.37663000000000002</c:v>
                </c:pt>
                <c:pt idx="5">
                  <c:v>0.32752999999999999</c:v>
                </c:pt>
                <c:pt idx="6">
                  <c:v>0.26752999999999999</c:v>
                </c:pt>
                <c:pt idx="7">
                  <c:v>0.26107999999999998</c:v>
                </c:pt>
                <c:pt idx="8">
                  <c:v>0.24989</c:v>
                </c:pt>
                <c:pt idx="9">
                  <c:v>0.22086</c:v>
                </c:pt>
                <c:pt idx="10">
                  <c:v>0.21903</c:v>
                </c:pt>
                <c:pt idx="11">
                  <c:v>0.20018</c:v>
                </c:pt>
                <c:pt idx="12">
                  <c:v>0.18897</c:v>
                </c:pt>
                <c:pt idx="13">
                  <c:v>0.16411000000000001</c:v>
                </c:pt>
                <c:pt idx="14">
                  <c:v>0.15673999999999999</c:v>
                </c:pt>
                <c:pt idx="15">
                  <c:v>0.15057999999999999</c:v>
                </c:pt>
                <c:pt idx="16">
                  <c:v>0.14599999999999999</c:v>
                </c:pt>
                <c:pt idx="17">
                  <c:v>0.13506000000000001</c:v>
                </c:pt>
                <c:pt idx="18">
                  <c:v>0.13281999999999999</c:v>
                </c:pt>
                <c:pt idx="19">
                  <c:v>0.1217</c:v>
                </c:pt>
                <c:pt idx="20">
                  <c:v>0.1154</c:v>
                </c:pt>
                <c:pt idx="21">
                  <c:v>0.11461</c:v>
                </c:pt>
                <c:pt idx="22">
                  <c:v>0.11404</c:v>
                </c:pt>
                <c:pt idx="23">
                  <c:v>0.11274000000000001</c:v>
                </c:pt>
                <c:pt idx="24">
                  <c:v>0.11024</c:v>
                </c:pt>
                <c:pt idx="25">
                  <c:v>0.10918</c:v>
                </c:pt>
                <c:pt idx="26">
                  <c:v>0.10867</c:v>
                </c:pt>
                <c:pt idx="27">
                  <c:v>0.10607</c:v>
                </c:pt>
                <c:pt idx="28">
                  <c:v>0.10453999999999999</c:v>
                </c:pt>
                <c:pt idx="29">
                  <c:v>0.10324</c:v>
                </c:pt>
                <c:pt idx="30">
                  <c:v>0.10077</c:v>
                </c:pt>
                <c:pt idx="31">
                  <c:v>0.10051</c:v>
                </c:pt>
                <c:pt idx="32">
                  <c:v>9.9260000000000001E-2</c:v>
                </c:pt>
                <c:pt idx="33">
                  <c:v>9.8199999999999996E-2</c:v>
                </c:pt>
                <c:pt idx="34">
                  <c:v>9.758E-2</c:v>
                </c:pt>
                <c:pt idx="35">
                  <c:v>9.6710000000000004E-2</c:v>
                </c:pt>
                <c:pt idx="36">
                  <c:v>9.5979999999999996E-2</c:v>
                </c:pt>
                <c:pt idx="37">
                  <c:v>9.5780000000000004E-2</c:v>
                </c:pt>
                <c:pt idx="38">
                  <c:v>9.375E-2</c:v>
                </c:pt>
                <c:pt idx="39">
                  <c:v>9.3640000000000001E-2</c:v>
                </c:pt>
                <c:pt idx="40">
                  <c:v>9.3049999999999994E-2</c:v>
                </c:pt>
                <c:pt idx="41">
                  <c:v>9.2189999999999994E-2</c:v>
                </c:pt>
                <c:pt idx="42">
                  <c:v>9.128E-2</c:v>
                </c:pt>
                <c:pt idx="43">
                  <c:v>9.0929999999999997E-2</c:v>
                </c:pt>
                <c:pt idx="44">
                  <c:v>8.9940000000000006E-2</c:v>
                </c:pt>
                <c:pt idx="45">
                  <c:v>8.8719999999999993E-2</c:v>
                </c:pt>
                <c:pt idx="46">
                  <c:v>8.8139999999999996E-2</c:v>
                </c:pt>
                <c:pt idx="47">
                  <c:v>8.6669999999999997E-2</c:v>
                </c:pt>
                <c:pt idx="48">
                  <c:v>8.6059999999999998E-2</c:v>
                </c:pt>
                <c:pt idx="49">
                  <c:v>8.3690000000000001E-2</c:v>
                </c:pt>
                <c:pt idx="50">
                  <c:v>8.3320000000000005E-2</c:v>
                </c:pt>
                <c:pt idx="51">
                  <c:v>8.3309999999999995E-2</c:v>
                </c:pt>
                <c:pt idx="52">
                  <c:v>7.9699999999999993E-2</c:v>
                </c:pt>
                <c:pt idx="53">
                  <c:v>7.8159999999999993E-2</c:v>
                </c:pt>
                <c:pt idx="54">
                  <c:v>7.671E-2</c:v>
                </c:pt>
                <c:pt idx="55">
                  <c:v>7.5079999999999994E-2</c:v>
                </c:pt>
                <c:pt idx="56">
                  <c:v>7.3999999999999996E-2</c:v>
                </c:pt>
                <c:pt idx="57">
                  <c:v>7.3630000000000001E-2</c:v>
                </c:pt>
                <c:pt idx="58">
                  <c:v>7.2510000000000005E-2</c:v>
                </c:pt>
                <c:pt idx="59">
                  <c:v>7.0449999999999999E-2</c:v>
                </c:pt>
                <c:pt idx="60">
                  <c:v>6.9940000000000002E-2</c:v>
                </c:pt>
                <c:pt idx="61">
                  <c:v>6.9269999999999998E-2</c:v>
                </c:pt>
                <c:pt idx="62">
                  <c:v>6.9120000000000001E-2</c:v>
                </c:pt>
                <c:pt idx="63">
                  <c:v>6.8669999999999995E-2</c:v>
                </c:pt>
                <c:pt idx="64">
                  <c:v>6.8610000000000004E-2</c:v>
                </c:pt>
                <c:pt idx="65">
                  <c:v>6.7890000000000006E-2</c:v>
                </c:pt>
                <c:pt idx="66">
                  <c:v>6.6680000000000003E-2</c:v>
                </c:pt>
                <c:pt idx="67">
                  <c:v>6.6650000000000001E-2</c:v>
                </c:pt>
                <c:pt idx="68">
                  <c:v>6.6640000000000005E-2</c:v>
                </c:pt>
                <c:pt idx="69">
                  <c:v>6.5750000000000003E-2</c:v>
                </c:pt>
                <c:pt idx="70">
                  <c:v>6.5079999999999999E-2</c:v>
                </c:pt>
                <c:pt idx="71">
                  <c:v>6.4890000000000003E-2</c:v>
                </c:pt>
                <c:pt idx="72">
                  <c:v>6.1839999999999999E-2</c:v>
                </c:pt>
                <c:pt idx="73">
                  <c:v>6.1800000000000001E-2</c:v>
                </c:pt>
                <c:pt idx="74">
                  <c:v>6.1420000000000002E-2</c:v>
                </c:pt>
                <c:pt idx="75">
                  <c:v>6.0290000000000003E-2</c:v>
                </c:pt>
                <c:pt idx="76">
                  <c:v>5.9659999999999998E-2</c:v>
                </c:pt>
                <c:pt idx="77">
                  <c:v>5.8889999999999998E-2</c:v>
                </c:pt>
                <c:pt idx="78">
                  <c:v>5.8840000000000003E-2</c:v>
                </c:pt>
                <c:pt idx="79">
                  <c:v>5.8400000000000001E-2</c:v>
                </c:pt>
                <c:pt idx="80">
                  <c:v>5.8250000000000003E-2</c:v>
                </c:pt>
                <c:pt idx="81">
                  <c:v>5.7919999999999999E-2</c:v>
                </c:pt>
                <c:pt idx="82">
                  <c:v>5.5750000000000001E-2</c:v>
                </c:pt>
                <c:pt idx="83">
                  <c:v>5.3280000000000001E-2</c:v>
                </c:pt>
                <c:pt idx="84">
                  <c:v>5.1180000000000003E-2</c:v>
                </c:pt>
                <c:pt idx="85">
                  <c:v>5.0689999999999999E-2</c:v>
                </c:pt>
                <c:pt idx="86">
                  <c:v>4.854E-2</c:v>
                </c:pt>
                <c:pt idx="87">
                  <c:v>4.7600000000000003E-2</c:v>
                </c:pt>
                <c:pt idx="88">
                  <c:v>4.6199999999999998E-2</c:v>
                </c:pt>
                <c:pt idx="89">
                  <c:v>4.6120000000000001E-2</c:v>
                </c:pt>
                <c:pt idx="90">
                  <c:v>4.5609999999999998E-2</c:v>
                </c:pt>
                <c:pt idx="91">
                  <c:v>4.437E-2</c:v>
                </c:pt>
                <c:pt idx="92">
                  <c:v>4.367E-2</c:v>
                </c:pt>
                <c:pt idx="93">
                  <c:v>4.3389999999999998E-2</c:v>
                </c:pt>
                <c:pt idx="94">
                  <c:v>4.3040000000000002E-2</c:v>
                </c:pt>
                <c:pt idx="95">
                  <c:v>4.2869999999999998E-2</c:v>
                </c:pt>
                <c:pt idx="96">
                  <c:v>4.2189999999999998E-2</c:v>
                </c:pt>
                <c:pt idx="97">
                  <c:v>4.1939999999999998E-2</c:v>
                </c:pt>
                <c:pt idx="98">
                  <c:v>4.1739999999999999E-2</c:v>
                </c:pt>
                <c:pt idx="99">
                  <c:v>4.1509999999999998E-2</c:v>
                </c:pt>
                <c:pt idx="100">
                  <c:v>4.0969999999999999E-2</c:v>
                </c:pt>
                <c:pt idx="101">
                  <c:v>3.9910000000000001E-2</c:v>
                </c:pt>
                <c:pt idx="102">
                  <c:v>3.9379999999999998E-2</c:v>
                </c:pt>
                <c:pt idx="103">
                  <c:v>3.9320000000000001E-2</c:v>
                </c:pt>
                <c:pt idx="104">
                  <c:v>3.9170000000000003E-2</c:v>
                </c:pt>
                <c:pt idx="105">
                  <c:v>3.9039999999999998E-2</c:v>
                </c:pt>
                <c:pt idx="106">
                  <c:v>3.8629999999999998E-2</c:v>
                </c:pt>
                <c:pt idx="107">
                  <c:v>3.7139999999999999E-2</c:v>
                </c:pt>
                <c:pt idx="108">
                  <c:v>3.5970000000000002E-2</c:v>
                </c:pt>
                <c:pt idx="109">
                  <c:v>3.5470000000000002E-2</c:v>
                </c:pt>
                <c:pt idx="110">
                  <c:v>3.4979999999999997E-2</c:v>
                </c:pt>
                <c:pt idx="111">
                  <c:v>3.4869999999999998E-2</c:v>
                </c:pt>
                <c:pt idx="112">
                  <c:v>3.4810000000000001E-2</c:v>
                </c:pt>
                <c:pt idx="113">
                  <c:v>3.4709999999999998E-2</c:v>
                </c:pt>
                <c:pt idx="114">
                  <c:v>3.4380000000000001E-2</c:v>
                </c:pt>
                <c:pt idx="115">
                  <c:v>3.4130000000000001E-2</c:v>
                </c:pt>
                <c:pt idx="116">
                  <c:v>3.3840000000000002E-2</c:v>
                </c:pt>
                <c:pt idx="117">
                  <c:v>3.3259999999999998E-2</c:v>
                </c:pt>
                <c:pt idx="118">
                  <c:v>3.236E-2</c:v>
                </c:pt>
                <c:pt idx="119">
                  <c:v>3.1879999999999999E-2</c:v>
                </c:pt>
                <c:pt idx="120">
                  <c:v>3.1789999999999999E-2</c:v>
                </c:pt>
                <c:pt idx="121">
                  <c:v>3.1449999999999999E-2</c:v>
                </c:pt>
                <c:pt idx="122">
                  <c:v>3.1099999999999999E-2</c:v>
                </c:pt>
                <c:pt idx="123">
                  <c:v>3.0669999999999999E-2</c:v>
                </c:pt>
                <c:pt idx="124">
                  <c:v>3.023E-2</c:v>
                </c:pt>
                <c:pt idx="125">
                  <c:v>2.962E-2</c:v>
                </c:pt>
                <c:pt idx="126">
                  <c:v>2.9510000000000002E-2</c:v>
                </c:pt>
                <c:pt idx="127">
                  <c:v>2.8740000000000002E-2</c:v>
                </c:pt>
                <c:pt idx="128">
                  <c:v>2.656E-2</c:v>
                </c:pt>
                <c:pt idx="129">
                  <c:v>2.6530000000000001E-2</c:v>
                </c:pt>
                <c:pt idx="130">
                  <c:v>2.5309999999999999E-2</c:v>
                </c:pt>
                <c:pt idx="131">
                  <c:v>2.4809999999999999E-2</c:v>
                </c:pt>
                <c:pt idx="132">
                  <c:v>2.257E-2</c:v>
                </c:pt>
                <c:pt idx="133">
                  <c:v>2.2450000000000001E-2</c:v>
                </c:pt>
                <c:pt idx="134">
                  <c:v>2.2419999999999999E-2</c:v>
                </c:pt>
                <c:pt idx="135">
                  <c:v>2.2380000000000001E-2</c:v>
                </c:pt>
                <c:pt idx="136">
                  <c:v>2.1489999999999999E-2</c:v>
                </c:pt>
                <c:pt idx="137">
                  <c:v>2.147E-2</c:v>
                </c:pt>
                <c:pt idx="138">
                  <c:v>2.1409999999999998E-2</c:v>
                </c:pt>
                <c:pt idx="139">
                  <c:v>2.0539999999999999E-2</c:v>
                </c:pt>
                <c:pt idx="140">
                  <c:v>2.0480000000000002E-2</c:v>
                </c:pt>
                <c:pt idx="141">
                  <c:v>2.001E-2</c:v>
                </c:pt>
                <c:pt idx="142">
                  <c:v>1.968E-2</c:v>
                </c:pt>
                <c:pt idx="143">
                  <c:v>1.8700000000000001E-2</c:v>
                </c:pt>
                <c:pt idx="144">
                  <c:v>1.8589999999999999E-2</c:v>
                </c:pt>
                <c:pt idx="145">
                  <c:v>1.8329999999999999E-2</c:v>
                </c:pt>
                <c:pt idx="146">
                  <c:v>1.634E-2</c:v>
                </c:pt>
                <c:pt idx="147">
                  <c:v>1.618E-2</c:v>
                </c:pt>
                <c:pt idx="148">
                  <c:v>1.5730000000000001E-2</c:v>
                </c:pt>
                <c:pt idx="149">
                  <c:v>1.5049999999999999E-2</c:v>
                </c:pt>
                <c:pt idx="150">
                  <c:v>1.5010000000000001E-2</c:v>
                </c:pt>
                <c:pt idx="151">
                  <c:v>1.431E-2</c:v>
                </c:pt>
                <c:pt idx="152">
                  <c:v>1.359E-2</c:v>
                </c:pt>
                <c:pt idx="153">
                  <c:v>1.025E-2</c:v>
                </c:pt>
                <c:pt idx="154">
                  <c:v>9.6100000000000005E-3</c:v>
                </c:pt>
                <c:pt idx="155">
                  <c:v>6.4900000000000001E-3</c:v>
                </c:pt>
                <c:pt idx="156">
                  <c:v>6.1000000000000004E-3</c:v>
                </c:pt>
                <c:pt idx="157">
                  <c:v>5.9500000000000004E-3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B-411C-B9C2-B6DFE074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0639"/>
        <c:axId val="160093775"/>
      </c:scatterChart>
      <c:valAx>
        <c:axId val="17538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GC_Skew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3775"/>
        <c:crosses val="autoZero"/>
        <c:crossBetween val="midCat"/>
      </c:valAx>
      <c:valAx>
        <c:axId val="16009377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B. subtilis</a:t>
            </a:r>
            <a:r>
              <a:rPr lang="en-US" i="1" baseline="0"/>
              <a:t> </a:t>
            </a:r>
            <a:r>
              <a:rPr lang="en-US" baseline="0"/>
              <a:t>- </a:t>
            </a:r>
            <a:r>
              <a:rPr lang="en-US"/>
              <a:t>Gene Length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'Gene length'!$N$4:$N$10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'Gene length'!$V$5:$V$10</c:f>
              <c:numCache>
                <c:formatCode>General</c:formatCode>
                <c:ptCount val="6"/>
                <c:pt idx="0">
                  <c:v>1.366451359269711</c:v>
                </c:pt>
                <c:pt idx="1">
                  <c:v>1.2462898424185032</c:v>
                </c:pt>
                <c:pt idx="2">
                  <c:v>1.366696654150932</c:v>
                </c:pt>
                <c:pt idx="3">
                  <c:v>2.0765091249415075</c:v>
                </c:pt>
                <c:pt idx="4">
                  <c:v>1.5449430765157535</c:v>
                </c:pt>
                <c:pt idx="5">
                  <c:v>2.2929395790902922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9-4F3D-8B98-BB7522DE4BF1}"/>
            </c:ext>
          </c:extLst>
        </c:ser>
        <c:ser>
          <c:idx val="1"/>
          <c:order val="1"/>
          <c:tx>
            <c:v>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'Gene length'!$N$4:$N$10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'Gene length'!$W$5:$W$10</c:f>
              <c:numCache>
                <c:formatCode>General</c:formatCode>
                <c:ptCount val="6"/>
                <c:pt idx="0">
                  <c:v>1.0362132828655666</c:v>
                </c:pt>
                <c:pt idx="1">
                  <c:v>1.0419202598784374</c:v>
                </c:pt>
                <c:pt idx="2">
                  <c:v>0.97778387696300983</c:v>
                </c:pt>
                <c:pt idx="3">
                  <c:v>1.0427054346759357</c:v>
                </c:pt>
                <c:pt idx="4">
                  <c:v>1.1216269272262964</c:v>
                </c:pt>
                <c:pt idx="5">
                  <c:v>1.2287095471497911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9-4F3D-8B98-BB7522DE4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33264"/>
        <c:axId val="1852591488"/>
      </c:scatterChart>
      <c:valAx>
        <c:axId val="17146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Length (AA)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91488"/>
        <c:crosses val="autoZero"/>
        <c:crossBetween val="midCat"/>
      </c:valAx>
      <c:valAx>
        <c:axId val="18525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HO/CD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B. subtilis</a:t>
            </a:r>
            <a:r>
              <a:rPr lang="en-US" i="1" baseline="0"/>
              <a:t> </a:t>
            </a:r>
            <a:r>
              <a:rPr lang="en-US" baseline="0"/>
              <a:t>- </a:t>
            </a:r>
            <a:r>
              <a:rPr lang="en-US"/>
              <a:t>Gene Length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'Gene length'!$N$4:$N$10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'Gene length'!$Q$5:$Q$10</c:f>
              <c:numCache>
                <c:formatCode>General</c:formatCode>
                <c:ptCount val="6"/>
                <c:pt idx="0">
                  <c:v>7.0649137931034472E-2</c:v>
                </c:pt>
                <c:pt idx="1">
                  <c:v>5.4715555555555545E-2</c:v>
                </c:pt>
                <c:pt idx="2">
                  <c:v>4.8099565217391296E-2</c:v>
                </c:pt>
                <c:pt idx="3">
                  <c:v>7.1819999999999995E-2</c:v>
                </c:pt>
                <c:pt idx="4">
                  <c:v>3.5723333333333329E-2</c:v>
                </c:pt>
                <c:pt idx="5">
                  <c:v>4.5150000000000003E-2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D-4B5A-AC9E-EE37EB6AE9A4}"/>
            </c:ext>
          </c:extLst>
        </c:ser>
        <c:ser>
          <c:idx val="1"/>
          <c:order val="1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'Gene length'!$N$4:$N$10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'Gene length'!$T$5:$T$10</c:f>
              <c:numCache>
                <c:formatCode>General</c:formatCode>
                <c:ptCount val="6"/>
                <c:pt idx="0">
                  <c:v>5.192304347826087E-2</c:v>
                </c:pt>
                <c:pt idx="1">
                  <c:v>4.6708085106382975E-2</c:v>
                </c:pt>
                <c:pt idx="2">
                  <c:v>3.5720806451612901E-2</c:v>
                </c:pt>
                <c:pt idx="3">
                  <c:v>2.9291199999999993E-2</c:v>
                </c:pt>
                <c:pt idx="4">
                  <c:v>2.5216470588235295E-2</c:v>
                </c:pt>
                <c:pt idx="5">
                  <c:v>2.4820952380952381E-2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1D-4B5A-AC9E-EE37EB6A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33264"/>
        <c:axId val="1852591488"/>
      </c:scatterChart>
      <c:valAx>
        <c:axId val="17146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Length (AA)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91488"/>
        <c:crosses val="autoZero"/>
        <c:crossBetween val="midCat"/>
      </c:valAx>
      <c:valAx>
        <c:axId val="18525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dN/dS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 (95%)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2.6263360956848181E-4</c:v>
                </c:pt>
                <c:pt idx="1">
                  <c:v>3.8147854351443965E-4</c:v>
                </c:pt>
              </c:numLit>
            </c:plus>
            <c:minus>
              <c:numLit>
                <c:formatCode>General</c:formatCode>
                <c:ptCount val="2"/>
                <c:pt idx="0">
                  <c:v>2.6263360956848181E-4</c:v>
                </c:pt>
                <c:pt idx="1">
                  <c:v>3.8147854351443965E-4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CD</c:v>
              </c:pt>
              <c:pt idx="1">
                <c:v>HO</c:v>
              </c:pt>
            </c:strLit>
          </c:cat>
          <c:val>
            <c:numRef>
              <c:f>(ho!$CF$6,ho!$CF$5)</c:f>
              <c:numCache>
                <c:formatCode>General</c:formatCode>
                <c:ptCount val="2"/>
                <c:pt idx="0">
                  <c:v>4.6645020463847208E-3</c:v>
                </c:pt>
                <c:pt idx="1">
                  <c:v>6.6073988439306324E-3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7-4755-95DB-A9B58105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60751"/>
        <c:axId val="1029817503"/>
      </c:barChart>
      <c:catAx>
        <c:axId val="9533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7503"/>
        <c:crosses val="autoZero"/>
        <c:auto val="1"/>
        <c:lblAlgn val="ctr"/>
        <c:lblOffset val="100"/>
        <c:noMultiLvlLbl val="0"/>
      </c:catAx>
      <c:valAx>
        <c:axId val="1029817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 </a:t>
            </a:r>
            <a:r>
              <a:rPr lang="en-US" sz="1400" b="0" i="0" u="none" strike="noStrike" baseline="0">
                <a:effectLst/>
              </a:rPr>
              <a:t>(95%)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1.3079941431415126E-3</c:v>
                </c:pt>
                <c:pt idx="1">
                  <c:v>2.2382056026379986E-3</c:v>
                </c:pt>
              </c:numLit>
            </c:plus>
            <c:minus>
              <c:numLit>
                <c:formatCode>General</c:formatCode>
                <c:ptCount val="2"/>
                <c:pt idx="0">
                  <c:v>1.3079941431415126E-3</c:v>
                </c:pt>
                <c:pt idx="1">
                  <c:v>2.2382056026379986E-3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CD</c:v>
              </c:pt>
              <c:pt idx="1">
                <c:v>HO</c:v>
              </c:pt>
            </c:strLit>
          </c:cat>
          <c:val>
            <c:numRef>
              <c:f>(ho!$CH$6,ho!$CH$5)</c:f>
              <c:numCache>
                <c:formatCode>General</c:formatCode>
                <c:ptCount val="2"/>
                <c:pt idx="0">
                  <c:v>0.11219564979480158</c:v>
                </c:pt>
                <c:pt idx="1">
                  <c:v>0.11166901734104043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D-41C2-ADF4-2696E715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60751"/>
        <c:axId val="1029817503"/>
      </c:barChart>
      <c:catAx>
        <c:axId val="9533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7503"/>
        <c:crosses val="autoZero"/>
        <c:auto val="1"/>
        <c:lblAlgn val="ctr"/>
        <c:lblOffset val="100"/>
        <c:noMultiLvlLbl val="0"/>
      </c:catAx>
      <c:valAx>
        <c:axId val="1029817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Bsub</a:t>
            </a:r>
            <a:r>
              <a:rPr lang="en-US" sz="1400" b="0" i="0" u="none" strike="noStrike" baseline="0">
                <a:effectLst/>
              </a:rPr>
              <a:t>(95%)</a:t>
            </a:r>
            <a:endParaRPr lang="en-US"/>
          </a:p>
          <a:p>
            <a:pPr>
              <a:defRPr/>
            </a:pPr>
            <a:r>
              <a:rPr lang="en-US"/>
              <a:t>dN/dS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(ho!$CM$6,ho!$CM$5)</c:f>
                <c:numCache>
                  <c:formatCode>General</c:formatCode>
                  <c:ptCount val="2"/>
                  <c:pt idx="0">
                    <c:v>2.1063485209153322E-3</c:v>
                  </c:pt>
                  <c:pt idx="1">
                    <c:v>1.4039189624891509E-2</c:v>
                  </c:pt>
                </c:numCache>
              </c:numRef>
            </c:plus>
            <c:minus>
              <c:numRef>
                <c:f>(ho!$CM$6,ho!$CM$5)</c:f>
                <c:numCache>
                  <c:formatCode>General</c:formatCode>
                  <c:ptCount val="2"/>
                  <c:pt idx="0">
                    <c:v>2.1063485209153322E-3</c:v>
                  </c:pt>
                  <c:pt idx="1">
                    <c:v>1.4039189624891509E-2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CD</c:v>
              </c:pt>
              <c:pt idx="1">
                <c:v>HO</c:v>
              </c:pt>
            </c:strLit>
          </c:cat>
          <c:val>
            <c:numRef>
              <c:f>(ho!$CK$6,ho!$CK$5)</c:f>
              <c:numCache>
                <c:formatCode>General</c:formatCode>
                <c:ptCount val="2"/>
                <c:pt idx="0">
                  <c:v>4.8152919508867666E-2</c:v>
                </c:pt>
                <c:pt idx="1">
                  <c:v>8.5847919075144496E-2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6-46C4-8BC6-467D931B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60751"/>
        <c:axId val="1029817503"/>
      </c:barChart>
      <c:catAx>
        <c:axId val="9533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7503"/>
        <c:crosses val="autoZero"/>
        <c:auto val="1"/>
        <c:lblAlgn val="ctr"/>
        <c:lblOffset val="100"/>
        <c:noMultiLvlLbl val="0"/>
      </c:catAx>
      <c:valAx>
        <c:axId val="1029817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Bsub</a:t>
            </a:r>
            <a:r>
              <a:rPr lang="en-US" sz="1100" b="0" i="0" u="none" strike="noStrike" baseline="0">
                <a:effectLst/>
              </a:rPr>
              <a:t>(95%)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% Genes Under Positive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CD</c:v>
              </c:pt>
              <c:pt idx="1">
                <c:v>HO</c:v>
              </c:pt>
            </c:strLit>
          </c:cat>
          <c:val>
            <c:numRef>
              <c:f>(ho!$BZ$13,ho!$BZ$6)</c:f>
              <c:numCache>
                <c:formatCode>0.00%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2-425B-9511-A4013EC9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60751"/>
        <c:axId val="1029817503"/>
      </c:barChart>
      <c:catAx>
        <c:axId val="9533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7503"/>
        <c:crosses val="autoZero"/>
        <c:auto val="1"/>
        <c:lblAlgn val="ctr"/>
        <c:lblOffset val="100"/>
        <c:noMultiLvlLbl val="0"/>
      </c:catAx>
      <c:valAx>
        <c:axId val="1029817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Bsub(95%)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Avg #</a:t>
            </a:r>
            <a:r>
              <a:rPr lang="en-US" baseline="0"/>
              <a:t> HotSpots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per gene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CD</c:v>
              </c:pt>
              <c:pt idx="1">
                <c:v>HO</c:v>
              </c:pt>
            </c:strLit>
          </c:cat>
          <c:val>
            <c:numRef>
              <c:f>(ho!$CT$6,ho!$CT$5)</c:f>
              <c:numCache>
                <c:formatCode>General</c:formatCode>
                <c:ptCount val="2"/>
                <c:pt idx="0">
                  <c:v>0.43656207366984995</c:v>
                </c:pt>
                <c:pt idx="1">
                  <c:v>0.56069364161849711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4EB0-9684-2C86BBFF8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60751"/>
        <c:axId val="1029817503"/>
      </c:barChart>
      <c:catAx>
        <c:axId val="9533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7503"/>
        <c:crosses val="autoZero"/>
        <c:auto val="1"/>
        <c:lblAlgn val="ctr"/>
        <c:lblOffset val="100"/>
        <c:noMultiLvlLbl val="0"/>
      </c:catAx>
      <c:valAx>
        <c:axId val="10298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Bsub(95%)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Pct of Genes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w/ HotSpots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CD</c:v>
              </c:pt>
              <c:pt idx="1">
                <c:v>HO</c:v>
              </c:pt>
            </c:strLit>
          </c:cat>
          <c:val>
            <c:numRef>
              <c:f>(ho!$CU$6,ho!$CU$5)</c:f>
              <c:numCache>
                <c:formatCode>General</c:formatCode>
                <c:ptCount val="2"/>
                <c:pt idx="0">
                  <c:v>0.17053206002728513</c:v>
                </c:pt>
                <c:pt idx="1">
                  <c:v>0.20231213872832371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D-4D05-BCEF-E39798E2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60751"/>
        <c:axId val="1029817503"/>
      </c:barChart>
      <c:catAx>
        <c:axId val="9533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7503"/>
        <c:crosses val="autoZero"/>
        <c:auto val="1"/>
        <c:lblAlgn val="ctr"/>
        <c:lblOffset val="100"/>
        <c:noMultiLvlLbl val="0"/>
      </c:catAx>
      <c:valAx>
        <c:axId val="1029817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Bsub(95%)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#  Genes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dN/dS &gt;1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CD</c:v>
              </c:pt>
              <c:pt idx="1">
                <c:v>HO</c:v>
              </c:pt>
            </c:strLit>
          </c:cat>
          <c:val>
            <c:numRef>
              <c:f>(ho!$CR$6,ho!$CR$5)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3-4685-96A5-4DE00389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60751"/>
        <c:axId val="1029817503"/>
      </c:barChart>
      <c:catAx>
        <c:axId val="9533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7503"/>
        <c:crosses val="autoZero"/>
        <c:auto val="1"/>
        <c:lblAlgn val="ctr"/>
        <c:lblOffset val="100"/>
        <c:noMultiLvlLbl val="0"/>
      </c:catAx>
      <c:valAx>
        <c:axId val="10298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dN/dS vs. GC_Skew
(HO Genes)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ho!$BJ$4:$BJ$176</c:f>
              <c:numCache>
                <c:formatCode>General</c:formatCode>
                <c:ptCount val="173"/>
                <c:pt idx="0">
                  <c:v>7.5187969924812E-3</c:v>
                </c:pt>
                <c:pt idx="1">
                  <c:v>0.116279069767441</c:v>
                </c:pt>
                <c:pt idx="2">
                  <c:v>-0.122807017543859</c:v>
                </c:pt>
                <c:pt idx="3">
                  <c:v>-0.10204081632653</c:v>
                </c:pt>
                <c:pt idx="4">
                  <c:v>1.4925373134328301E-2</c:v>
                </c:pt>
                <c:pt idx="5">
                  <c:v>-0.12676056338028099</c:v>
                </c:pt>
                <c:pt idx="6">
                  <c:v>2.6315789473684199E-2</c:v>
                </c:pt>
                <c:pt idx="7">
                  <c:v>-7.69230769230769E-2</c:v>
                </c:pt>
                <c:pt idx="8">
                  <c:v>6.7226890756302504E-2</c:v>
                </c:pt>
                <c:pt idx="9">
                  <c:v>2.0833333333333301E-2</c:v>
                </c:pt>
                <c:pt idx="10">
                  <c:v>-0.25581395348837199</c:v>
                </c:pt>
                <c:pt idx="11">
                  <c:v>-0.116483516483516</c:v>
                </c:pt>
                <c:pt idx="12">
                  <c:v>-2.71903323262839E-2</c:v>
                </c:pt>
                <c:pt idx="13">
                  <c:v>-3.6144578313252997E-2</c:v>
                </c:pt>
                <c:pt idx="14">
                  <c:v>-8.1481481481481405E-2</c:v>
                </c:pt>
                <c:pt idx="15">
                  <c:v>-6.25E-2</c:v>
                </c:pt>
                <c:pt idx="16">
                  <c:v>-5.8252427184466E-2</c:v>
                </c:pt>
                <c:pt idx="17">
                  <c:v>-0.20805369127516701</c:v>
                </c:pt>
                <c:pt idx="18">
                  <c:v>-0.151785714285714</c:v>
                </c:pt>
                <c:pt idx="19">
                  <c:v>-9.8360655737704902E-2</c:v>
                </c:pt>
                <c:pt idx="20">
                  <c:v>-0.146666666666666</c:v>
                </c:pt>
                <c:pt idx="21">
                  <c:v>-6.0402684563758302E-2</c:v>
                </c:pt>
                <c:pt idx="22">
                  <c:v>7.69230769230769E-2</c:v>
                </c:pt>
                <c:pt idx="23">
                  <c:v>-5.3763440860214999E-2</c:v>
                </c:pt>
                <c:pt idx="24">
                  <c:v>-9.0909090909090898E-2</c:v>
                </c:pt>
                <c:pt idx="25">
                  <c:v>1.72413793103448E-2</c:v>
                </c:pt>
                <c:pt idx="26">
                  <c:v>0.10091743119266</c:v>
                </c:pt>
                <c:pt idx="27">
                  <c:v>-0.16</c:v>
                </c:pt>
                <c:pt idx="28">
                  <c:v>0.05</c:v>
                </c:pt>
                <c:pt idx="29">
                  <c:v>-2.15827338129496E-2</c:v>
                </c:pt>
                <c:pt idx="30">
                  <c:v>-6.2111801242236003E-2</c:v>
                </c:pt>
                <c:pt idx="31">
                  <c:v>-0.114914425427872</c:v>
                </c:pt>
                <c:pt idx="32">
                  <c:v>5.3497942386831199E-2</c:v>
                </c:pt>
                <c:pt idx="33">
                  <c:v>-0.15686274509803899</c:v>
                </c:pt>
                <c:pt idx="34">
                  <c:v>0</c:v>
                </c:pt>
                <c:pt idx="35">
                  <c:v>9.0277777777777707E-2</c:v>
                </c:pt>
                <c:pt idx="36">
                  <c:v>9.7345132743362803E-2</c:v>
                </c:pt>
                <c:pt idx="37">
                  <c:v>2.40549828178694E-2</c:v>
                </c:pt>
                <c:pt idx="38">
                  <c:v>-1.0810810810810799E-2</c:v>
                </c:pt>
                <c:pt idx="39">
                  <c:v>-9.5744680851063801E-2</c:v>
                </c:pt>
                <c:pt idx="40">
                  <c:v>1.0752688172042999E-2</c:v>
                </c:pt>
                <c:pt idx="41">
                  <c:v>-3.125E-2</c:v>
                </c:pt>
                <c:pt idx="42">
                  <c:v>-4.1666666666666602E-2</c:v>
                </c:pt>
                <c:pt idx="43">
                  <c:v>0</c:v>
                </c:pt>
                <c:pt idx="44">
                  <c:v>-4.9382716049382699E-2</c:v>
                </c:pt>
                <c:pt idx="45">
                  <c:v>-0.30769230769230699</c:v>
                </c:pt>
                <c:pt idx="46">
                  <c:v>-0.17857142857142799</c:v>
                </c:pt>
                <c:pt idx="47">
                  <c:v>0</c:v>
                </c:pt>
                <c:pt idx="48">
                  <c:v>4.6632124352331598E-2</c:v>
                </c:pt>
                <c:pt idx="49">
                  <c:v>-3.5211267605633798E-2</c:v>
                </c:pt>
                <c:pt idx="50">
                  <c:v>-5.7534246575342403E-2</c:v>
                </c:pt>
                <c:pt idx="51">
                  <c:v>3.1518624641833803E-2</c:v>
                </c:pt>
                <c:pt idx="52">
                  <c:v>-0.28301886792452802</c:v>
                </c:pt>
                <c:pt idx="53">
                  <c:v>-0.04</c:v>
                </c:pt>
                <c:pt idx="54">
                  <c:v>-0.16595744680850999</c:v>
                </c:pt>
                <c:pt idx="55">
                  <c:v>3.2258064516128997E-2</c:v>
                </c:pt>
                <c:pt idx="56">
                  <c:v>-8.4745762711864403E-2</c:v>
                </c:pt>
                <c:pt idx="57">
                  <c:v>-2.9239766081871298E-2</c:v>
                </c:pt>
                <c:pt idx="58">
                  <c:v>-0.202672605790645</c:v>
                </c:pt>
                <c:pt idx="59">
                  <c:v>2.9850746268656699E-2</c:v>
                </c:pt>
                <c:pt idx="60">
                  <c:v>-0.15942028985507201</c:v>
                </c:pt>
                <c:pt idx="61">
                  <c:v>9.5808383233532898E-2</c:v>
                </c:pt>
                <c:pt idx="62">
                  <c:v>-8.5201793721972993E-2</c:v>
                </c:pt>
                <c:pt idx="63">
                  <c:v>-0.105084745762711</c:v>
                </c:pt>
                <c:pt idx="64">
                  <c:v>0.109090909090909</c:v>
                </c:pt>
                <c:pt idx="65">
                  <c:v>-3.8610038610038598E-3</c:v>
                </c:pt>
                <c:pt idx="66">
                  <c:v>7.3825503355704702E-2</c:v>
                </c:pt>
                <c:pt idx="67">
                  <c:v>7.3529411764705803E-3</c:v>
                </c:pt>
                <c:pt idx="68">
                  <c:v>-6.4102564102564097E-2</c:v>
                </c:pt>
                <c:pt idx="69">
                  <c:v>-1.50375939849624E-2</c:v>
                </c:pt>
                <c:pt idx="70">
                  <c:v>8.8709677419354802E-2</c:v>
                </c:pt>
                <c:pt idx="71">
                  <c:v>-9.0909090909090898E-2</c:v>
                </c:pt>
                <c:pt idx="72">
                  <c:v>-0.11688311688311601</c:v>
                </c:pt>
                <c:pt idx="73">
                  <c:v>-0.25190839694656397</c:v>
                </c:pt>
                <c:pt idx="74">
                  <c:v>0</c:v>
                </c:pt>
                <c:pt idx="75">
                  <c:v>-3.4246575342465703E-2</c:v>
                </c:pt>
                <c:pt idx="76">
                  <c:v>-9.0909090909090898E-2</c:v>
                </c:pt>
                <c:pt idx="77">
                  <c:v>-5.9952038369304503E-2</c:v>
                </c:pt>
                <c:pt idx="78">
                  <c:v>2.5578562728380001E-2</c:v>
                </c:pt>
                <c:pt idx="79">
                  <c:v>-0.16853932584269599</c:v>
                </c:pt>
                <c:pt idx="80">
                  <c:v>-8.4033613445378096E-3</c:v>
                </c:pt>
                <c:pt idx="81">
                  <c:v>1.9493177387914201E-3</c:v>
                </c:pt>
                <c:pt idx="82">
                  <c:v>7.8651685393258397E-2</c:v>
                </c:pt>
                <c:pt idx="83">
                  <c:v>-0.14074074074074</c:v>
                </c:pt>
                <c:pt idx="84">
                  <c:v>1.4836795252225501E-2</c:v>
                </c:pt>
                <c:pt idx="85">
                  <c:v>3.1161473087818602E-2</c:v>
                </c:pt>
                <c:pt idx="86">
                  <c:v>-7.8125E-2</c:v>
                </c:pt>
                <c:pt idx="87">
                  <c:v>0.21839080459770099</c:v>
                </c:pt>
                <c:pt idx="88">
                  <c:v>-9.7744360902255606E-2</c:v>
                </c:pt>
                <c:pt idx="89">
                  <c:v>-0.203007518796992</c:v>
                </c:pt>
                <c:pt idx="90">
                  <c:v>-8.8607594936708806E-2</c:v>
                </c:pt>
                <c:pt idx="91">
                  <c:v>0.22155688622754399</c:v>
                </c:pt>
                <c:pt idx="92">
                  <c:v>-2.9535864978902902E-2</c:v>
                </c:pt>
                <c:pt idx="93">
                  <c:v>-5.8823529411764698E-2</c:v>
                </c:pt>
                <c:pt idx="94">
                  <c:v>-4.1474654377880102E-2</c:v>
                </c:pt>
                <c:pt idx="95">
                  <c:v>-4.4247787610619399E-2</c:v>
                </c:pt>
                <c:pt idx="96">
                  <c:v>-0.22448979591836701</c:v>
                </c:pt>
                <c:pt idx="97">
                  <c:v>2.0512820512820499E-2</c:v>
                </c:pt>
                <c:pt idx="98">
                  <c:v>2.4271844660194102E-2</c:v>
                </c:pt>
                <c:pt idx="99">
                  <c:v>-3.4540859309182798E-2</c:v>
                </c:pt>
                <c:pt idx="100">
                  <c:v>9.1743119266054999E-3</c:v>
                </c:pt>
                <c:pt idx="101">
                  <c:v>-0.10294117647058799</c:v>
                </c:pt>
                <c:pt idx="102">
                  <c:v>-4.1666666666666602E-2</c:v>
                </c:pt>
                <c:pt idx="103">
                  <c:v>-2.53164556962025E-2</c:v>
                </c:pt>
                <c:pt idx="104">
                  <c:v>-0.265060240963855</c:v>
                </c:pt>
                <c:pt idx="105">
                  <c:v>-1.19521912350597E-2</c:v>
                </c:pt>
                <c:pt idx="106">
                  <c:v>-7.4492099322799099E-2</c:v>
                </c:pt>
                <c:pt idx="107">
                  <c:v>-6.4788732394366194E-2</c:v>
                </c:pt>
                <c:pt idx="108">
                  <c:v>-5.5934515688949499E-2</c:v>
                </c:pt>
                <c:pt idx="109">
                  <c:v>-0.37254901960784298</c:v>
                </c:pt>
                <c:pt idx="110">
                  <c:v>-4.0935672514619798E-2</c:v>
                </c:pt>
                <c:pt idx="111">
                  <c:v>-3.6789297658862803E-2</c:v>
                </c:pt>
                <c:pt idx="112">
                  <c:v>-9.8360655737704902E-2</c:v>
                </c:pt>
                <c:pt idx="113">
                  <c:v>0</c:v>
                </c:pt>
                <c:pt idx="114">
                  <c:v>-4.7120418848167499E-2</c:v>
                </c:pt>
                <c:pt idx="115">
                  <c:v>9.0598290598290596E-2</c:v>
                </c:pt>
                <c:pt idx="116">
                  <c:v>1.6528925619834701E-2</c:v>
                </c:pt>
                <c:pt idx="117">
                  <c:v>3.125E-2</c:v>
                </c:pt>
                <c:pt idx="118">
                  <c:v>-4.49438202247191E-2</c:v>
                </c:pt>
                <c:pt idx="119">
                  <c:v>-0.102652825836216</c:v>
                </c:pt>
                <c:pt idx="120">
                  <c:v>-1.85185185185185E-2</c:v>
                </c:pt>
                <c:pt idx="121">
                  <c:v>-0.24242424242424199</c:v>
                </c:pt>
                <c:pt idx="122">
                  <c:v>-7.69230769230769E-2</c:v>
                </c:pt>
                <c:pt idx="123">
                  <c:v>-0.106508875739644</c:v>
                </c:pt>
                <c:pt idx="124">
                  <c:v>-0.183098591549295</c:v>
                </c:pt>
                <c:pt idx="125">
                  <c:v>-2.2900763358778602E-2</c:v>
                </c:pt>
                <c:pt idx="126">
                  <c:v>-9.9526066350710901E-2</c:v>
                </c:pt>
                <c:pt idx="127">
                  <c:v>-7.0967741935483802E-2</c:v>
                </c:pt>
                <c:pt idx="128">
                  <c:v>-0.105263157894736</c:v>
                </c:pt>
                <c:pt idx="129">
                  <c:v>1.5094339622641499E-2</c:v>
                </c:pt>
                <c:pt idx="130">
                  <c:v>-7.3825503355704702E-2</c:v>
                </c:pt>
                <c:pt idx="131">
                  <c:v>-0.140350877192982</c:v>
                </c:pt>
                <c:pt idx="132">
                  <c:v>-7.22433460076045E-2</c:v>
                </c:pt>
                <c:pt idx="133">
                  <c:v>3.1141868512110701E-2</c:v>
                </c:pt>
                <c:pt idx="134">
                  <c:v>-9.0909090909090898E-2</c:v>
                </c:pt>
                <c:pt idx="135">
                  <c:v>-2.2222222222222199E-2</c:v>
                </c:pt>
                <c:pt idx="136">
                  <c:v>-2.77078085642317E-2</c:v>
                </c:pt>
                <c:pt idx="137">
                  <c:v>0.14074074074074</c:v>
                </c:pt>
                <c:pt idx="138">
                  <c:v>-1.6949152542372801E-2</c:v>
                </c:pt>
                <c:pt idx="139">
                  <c:v>3.47003154574132E-2</c:v>
                </c:pt>
                <c:pt idx="140">
                  <c:v>-0.125</c:v>
                </c:pt>
                <c:pt idx="141">
                  <c:v>-2.3529411764705799E-2</c:v>
                </c:pt>
                <c:pt idx="142">
                  <c:v>2.7989821882951599E-2</c:v>
                </c:pt>
                <c:pt idx="143">
                  <c:v>-9.9447513812154595E-2</c:v>
                </c:pt>
                <c:pt idx="144">
                  <c:v>3.9274924471299003E-2</c:v>
                </c:pt>
                <c:pt idx="145">
                  <c:v>-7.1748878923766801E-2</c:v>
                </c:pt>
                <c:pt idx="146">
                  <c:v>-2.2471910112359501E-2</c:v>
                </c:pt>
                <c:pt idx="147">
                  <c:v>-7.5187969924812E-3</c:v>
                </c:pt>
                <c:pt idx="148">
                  <c:v>0.157894736842105</c:v>
                </c:pt>
                <c:pt idx="149">
                  <c:v>3.2258064516128997E-2</c:v>
                </c:pt>
                <c:pt idx="150">
                  <c:v>5.8139534883720902E-2</c:v>
                </c:pt>
                <c:pt idx="151">
                  <c:v>-7.9365079365079305E-2</c:v>
                </c:pt>
                <c:pt idx="152">
                  <c:v>-2.3121387283236899E-2</c:v>
                </c:pt>
                <c:pt idx="153">
                  <c:v>-3.7974683544303799E-2</c:v>
                </c:pt>
                <c:pt idx="154">
                  <c:v>-0.10160427807486599</c:v>
                </c:pt>
                <c:pt idx="155">
                  <c:v>-9.0909090909090898E-2</c:v>
                </c:pt>
                <c:pt idx="156">
                  <c:v>-2.4930747922437602E-2</c:v>
                </c:pt>
                <c:pt idx="157">
                  <c:v>-1.11731843575419E-2</c:v>
                </c:pt>
                <c:pt idx="158">
                  <c:v>-0.27659574468085102</c:v>
                </c:pt>
                <c:pt idx="159">
                  <c:v>-2.5641025641025599E-2</c:v>
                </c:pt>
                <c:pt idx="160">
                  <c:v>-2.7027027027027001E-2</c:v>
                </c:pt>
                <c:pt idx="161">
                  <c:v>-0.108695652173913</c:v>
                </c:pt>
                <c:pt idx="162">
                  <c:v>0.02</c:v>
                </c:pt>
                <c:pt idx="163">
                  <c:v>7.9365079365079305E-2</c:v>
                </c:pt>
                <c:pt idx="164">
                  <c:v>-3.4482758620689599E-2</c:v>
                </c:pt>
                <c:pt idx="165">
                  <c:v>-0.16814159292035399</c:v>
                </c:pt>
                <c:pt idx="166">
                  <c:v>-0.133333333333333</c:v>
                </c:pt>
                <c:pt idx="167">
                  <c:v>-7.2164948453608199E-2</c:v>
                </c:pt>
                <c:pt idx="168">
                  <c:v>-4.6979865771811999E-2</c:v>
                </c:pt>
                <c:pt idx="169">
                  <c:v>4.6511627906976702E-2</c:v>
                </c:pt>
                <c:pt idx="170">
                  <c:v>-0.129870129870129</c:v>
                </c:pt>
                <c:pt idx="171">
                  <c:v>0.17857142857142799</c:v>
                </c:pt>
                <c:pt idx="172">
                  <c:v>-0.26724137931034397</c:v>
                </c:pt>
              </c:numCache>
            </c:numRef>
          </c:xVal>
          <c:yVal>
            <c:numRef>
              <c:f>ho!$BI$4:$BI$176</c:f>
              <c:numCache>
                <c:formatCode>General</c:formatCode>
                <c:ptCount val="173"/>
                <c:pt idx="0">
                  <c:v>2.09653</c:v>
                </c:pt>
                <c:pt idx="1">
                  <c:v>0.98065999999999998</c:v>
                </c:pt>
                <c:pt idx="2">
                  <c:v>0.49342000000000003</c:v>
                </c:pt>
                <c:pt idx="3">
                  <c:v>0.49206</c:v>
                </c:pt>
                <c:pt idx="4">
                  <c:v>0.37663000000000002</c:v>
                </c:pt>
                <c:pt idx="5">
                  <c:v>0.32752999999999999</c:v>
                </c:pt>
                <c:pt idx="6">
                  <c:v>0.26752999999999999</c:v>
                </c:pt>
                <c:pt idx="7">
                  <c:v>0.26107999999999998</c:v>
                </c:pt>
                <c:pt idx="8">
                  <c:v>0.24989</c:v>
                </c:pt>
                <c:pt idx="9">
                  <c:v>0.22086</c:v>
                </c:pt>
                <c:pt idx="10">
                  <c:v>0.21903</c:v>
                </c:pt>
                <c:pt idx="11">
                  <c:v>0.20018</c:v>
                </c:pt>
                <c:pt idx="12">
                  <c:v>0.18897</c:v>
                </c:pt>
                <c:pt idx="13">
                  <c:v>0.16411000000000001</c:v>
                </c:pt>
                <c:pt idx="14">
                  <c:v>0.15673999999999999</c:v>
                </c:pt>
                <c:pt idx="15">
                  <c:v>0.15057999999999999</c:v>
                </c:pt>
                <c:pt idx="16">
                  <c:v>0.14599999999999999</c:v>
                </c:pt>
                <c:pt idx="17">
                  <c:v>0.13506000000000001</c:v>
                </c:pt>
                <c:pt idx="18">
                  <c:v>0.13281999999999999</c:v>
                </c:pt>
                <c:pt idx="19">
                  <c:v>0.1217</c:v>
                </c:pt>
                <c:pt idx="20">
                  <c:v>0.1154</c:v>
                </c:pt>
                <c:pt idx="21">
                  <c:v>0.11461</c:v>
                </c:pt>
                <c:pt idx="22">
                  <c:v>0.11404</c:v>
                </c:pt>
                <c:pt idx="23">
                  <c:v>0.11274000000000001</c:v>
                </c:pt>
                <c:pt idx="24">
                  <c:v>0.11024</c:v>
                </c:pt>
                <c:pt idx="25">
                  <c:v>0.10918</c:v>
                </c:pt>
                <c:pt idx="26">
                  <c:v>0.10867</c:v>
                </c:pt>
                <c:pt idx="27">
                  <c:v>0.10607</c:v>
                </c:pt>
                <c:pt idx="28">
                  <c:v>0.10453999999999999</c:v>
                </c:pt>
                <c:pt idx="29">
                  <c:v>0.10324</c:v>
                </c:pt>
                <c:pt idx="30">
                  <c:v>0.10077</c:v>
                </c:pt>
                <c:pt idx="31">
                  <c:v>0.10051</c:v>
                </c:pt>
                <c:pt idx="32">
                  <c:v>9.9260000000000001E-2</c:v>
                </c:pt>
                <c:pt idx="33">
                  <c:v>9.8199999999999996E-2</c:v>
                </c:pt>
                <c:pt idx="34">
                  <c:v>9.758E-2</c:v>
                </c:pt>
                <c:pt idx="35">
                  <c:v>9.6710000000000004E-2</c:v>
                </c:pt>
                <c:pt idx="36">
                  <c:v>9.5979999999999996E-2</c:v>
                </c:pt>
                <c:pt idx="37">
                  <c:v>9.5780000000000004E-2</c:v>
                </c:pt>
                <c:pt idx="38">
                  <c:v>9.375E-2</c:v>
                </c:pt>
                <c:pt idx="39">
                  <c:v>9.3640000000000001E-2</c:v>
                </c:pt>
                <c:pt idx="40">
                  <c:v>9.3049999999999994E-2</c:v>
                </c:pt>
                <c:pt idx="41">
                  <c:v>9.2189999999999994E-2</c:v>
                </c:pt>
                <c:pt idx="42">
                  <c:v>9.128E-2</c:v>
                </c:pt>
                <c:pt idx="43">
                  <c:v>9.0929999999999997E-2</c:v>
                </c:pt>
                <c:pt idx="44">
                  <c:v>8.9940000000000006E-2</c:v>
                </c:pt>
                <c:pt idx="45">
                  <c:v>8.8719999999999993E-2</c:v>
                </c:pt>
                <c:pt idx="46">
                  <c:v>8.8139999999999996E-2</c:v>
                </c:pt>
                <c:pt idx="47">
                  <c:v>8.6669999999999997E-2</c:v>
                </c:pt>
                <c:pt idx="48">
                  <c:v>8.6059999999999998E-2</c:v>
                </c:pt>
                <c:pt idx="49">
                  <c:v>8.3690000000000001E-2</c:v>
                </c:pt>
                <c:pt idx="50">
                  <c:v>8.3320000000000005E-2</c:v>
                </c:pt>
                <c:pt idx="51">
                  <c:v>8.3309999999999995E-2</c:v>
                </c:pt>
                <c:pt idx="52">
                  <c:v>7.9699999999999993E-2</c:v>
                </c:pt>
                <c:pt idx="53">
                  <c:v>7.8159999999999993E-2</c:v>
                </c:pt>
                <c:pt idx="54">
                  <c:v>7.671E-2</c:v>
                </c:pt>
                <c:pt idx="55">
                  <c:v>7.5079999999999994E-2</c:v>
                </c:pt>
                <c:pt idx="56">
                  <c:v>7.3999999999999996E-2</c:v>
                </c:pt>
                <c:pt idx="57">
                  <c:v>7.3630000000000001E-2</c:v>
                </c:pt>
                <c:pt idx="58">
                  <c:v>7.2510000000000005E-2</c:v>
                </c:pt>
                <c:pt idx="59">
                  <c:v>7.0449999999999999E-2</c:v>
                </c:pt>
                <c:pt idx="60">
                  <c:v>6.9940000000000002E-2</c:v>
                </c:pt>
                <c:pt idx="61">
                  <c:v>6.9269999999999998E-2</c:v>
                </c:pt>
                <c:pt idx="62">
                  <c:v>6.9120000000000001E-2</c:v>
                </c:pt>
                <c:pt idx="63">
                  <c:v>6.8669999999999995E-2</c:v>
                </c:pt>
                <c:pt idx="64">
                  <c:v>6.8610000000000004E-2</c:v>
                </c:pt>
                <c:pt idx="65">
                  <c:v>6.7890000000000006E-2</c:v>
                </c:pt>
                <c:pt idx="66">
                  <c:v>6.6680000000000003E-2</c:v>
                </c:pt>
                <c:pt idx="67">
                  <c:v>6.6650000000000001E-2</c:v>
                </c:pt>
                <c:pt idx="68">
                  <c:v>6.6640000000000005E-2</c:v>
                </c:pt>
                <c:pt idx="69">
                  <c:v>6.5750000000000003E-2</c:v>
                </c:pt>
                <c:pt idx="70">
                  <c:v>6.5079999999999999E-2</c:v>
                </c:pt>
                <c:pt idx="71">
                  <c:v>6.4890000000000003E-2</c:v>
                </c:pt>
                <c:pt idx="72">
                  <c:v>6.1839999999999999E-2</c:v>
                </c:pt>
                <c:pt idx="73">
                  <c:v>6.1800000000000001E-2</c:v>
                </c:pt>
                <c:pt idx="74">
                  <c:v>6.1420000000000002E-2</c:v>
                </c:pt>
                <c:pt idx="75">
                  <c:v>6.0290000000000003E-2</c:v>
                </c:pt>
                <c:pt idx="76">
                  <c:v>5.9659999999999998E-2</c:v>
                </c:pt>
                <c:pt idx="77">
                  <c:v>5.8889999999999998E-2</c:v>
                </c:pt>
                <c:pt idx="78">
                  <c:v>5.8840000000000003E-2</c:v>
                </c:pt>
                <c:pt idx="79">
                  <c:v>5.8400000000000001E-2</c:v>
                </c:pt>
                <c:pt idx="80">
                  <c:v>5.8250000000000003E-2</c:v>
                </c:pt>
                <c:pt idx="81">
                  <c:v>5.7919999999999999E-2</c:v>
                </c:pt>
                <c:pt idx="82">
                  <c:v>5.5750000000000001E-2</c:v>
                </c:pt>
                <c:pt idx="83">
                  <c:v>5.3280000000000001E-2</c:v>
                </c:pt>
                <c:pt idx="84">
                  <c:v>5.1180000000000003E-2</c:v>
                </c:pt>
                <c:pt idx="85">
                  <c:v>5.0689999999999999E-2</c:v>
                </c:pt>
                <c:pt idx="86">
                  <c:v>4.854E-2</c:v>
                </c:pt>
                <c:pt idx="87">
                  <c:v>4.7600000000000003E-2</c:v>
                </c:pt>
                <c:pt idx="88">
                  <c:v>4.6199999999999998E-2</c:v>
                </c:pt>
                <c:pt idx="89">
                  <c:v>4.6120000000000001E-2</c:v>
                </c:pt>
                <c:pt idx="90">
                  <c:v>4.5609999999999998E-2</c:v>
                </c:pt>
                <c:pt idx="91">
                  <c:v>4.437E-2</c:v>
                </c:pt>
                <c:pt idx="92">
                  <c:v>4.367E-2</c:v>
                </c:pt>
                <c:pt idx="93">
                  <c:v>4.3389999999999998E-2</c:v>
                </c:pt>
                <c:pt idx="94">
                  <c:v>4.3040000000000002E-2</c:v>
                </c:pt>
                <c:pt idx="95">
                  <c:v>4.2869999999999998E-2</c:v>
                </c:pt>
                <c:pt idx="96">
                  <c:v>4.2189999999999998E-2</c:v>
                </c:pt>
                <c:pt idx="97">
                  <c:v>4.1939999999999998E-2</c:v>
                </c:pt>
                <c:pt idx="98">
                  <c:v>4.1739999999999999E-2</c:v>
                </c:pt>
                <c:pt idx="99">
                  <c:v>4.1509999999999998E-2</c:v>
                </c:pt>
                <c:pt idx="100">
                  <c:v>4.0969999999999999E-2</c:v>
                </c:pt>
                <c:pt idx="101">
                  <c:v>3.9910000000000001E-2</c:v>
                </c:pt>
                <c:pt idx="102">
                  <c:v>3.9379999999999998E-2</c:v>
                </c:pt>
                <c:pt idx="103">
                  <c:v>3.9320000000000001E-2</c:v>
                </c:pt>
                <c:pt idx="104">
                  <c:v>3.9170000000000003E-2</c:v>
                </c:pt>
                <c:pt idx="105">
                  <c:v>3.9039999999999998E-2</c:v>
                </c:pt>
                <c:pt idx="106">
                  <c:v>3.8629999999999998E-2</c:v>
                </c:pt>
                <c:pt idx="107">
                  <c:v>3.7139999999999999E-2</c:v>
                </c:pt>
                <c:pt idx="108">
                  <c:v>3.5970000000000002E-2</c:v>
                </c:pt>
                <c:pt idx="109">
                  <c:v>3.5470000000000002E-2</c:v>
                </c:pt>
                <c:pt idx="110">
                  <c:v>3.4979999999999997E-2</c:v>
                </c:pt>
                <c:pt idx="111">
                  <c:v>3.4869999999999998E-2</c:v>
                </c:pt>
                <c:pt idx="112">
                  <c:v>3.4810000000000001E-2</c:v>
                </c:pt>
                <c:pt idx="113">
                  <c:v>3.4709999999999998E-2</c:v>
                </c:pt>
                <c:pt idx="114">
                  <c:v>3.4380000000000001E-2</c:v>
                </c:pt>
                <c:pt idx="115">
                  <c:v>3.4130000000000001E-2</c:v>
                </c:pt>
                <c:pt idx="116">
                  <c:v>3.3840000000000002E-2</c:v>
                </c:pt>
                <c:pt idx="117">
                  <c:v>3.3259999999999998E-2</c:v>
                </c:pt>
                <c:pt idx="118">
                  <c:v>3.236E-2</c:v>
                </c:pt>
                <c:pt idx="119">
                  <c:v>3.1879999999999999E-2</c:v>
                </c:pt>
                <c:pt idx="120">
                  <c:v>3.1789999999999999E-2</c:v>
                </c:pt>
                <c:pt idx="121">
                  <c:v>3.1449999999999999E-2</c:v>
                </c:pt>
                <c:pt idx="122">
                  <c:v>3.1099999999999999E-2</c:v>
                </c:pt>
                <c:pt idx="123">
                  <c:v>3.0669999999999999E-2</c:v>
                </c:pt>
                <c:pt idx="124">
                  <c:v>3.023E-2</c:v>
                </c:pt>
                <c:pt idx="125">
                  <c:v>2.962E-2</c:v>
                </c:pt>
                <c:pt idx="126">
                  <c:v>2.9510000000000002E-2</c:v>
                </c:pt>
                <c:pt idx="127">
                  <c:v>2.8740000000000002E-2</c:v>
                </c:pt>
                <c:pt idx="128">
                  <c:v>2.656E-2</c:v>
                </c:pt>
                <c:pt idx="129">
                  <c:v>2.6530000000000001E-2</c:v>
                </c:pt>
                <c:pt idx="130">
                  <c:v>2.5309999999999999E-2</c:v>
                </c:pt>
                <c:pt idx="131">
                  <c:v>2.4809999999999999E-2</c:v>
                </c:pt>
                <c:pt idx="132">
                  <c:v>2.257E-2</c:v>
                </c:pt>
                <c:pt idx="133">
                  <c:v>2.2450000000000001E-2</c:v>
                </c:pt>
                <c:pt idx="134">
                  <c:v>2.2419999999999999E-2</c:v>
                </c:pt>
                <c:pt idx="135">
                  <c:v>2.2380000000000001E-2</c:v>
                </c:pt>
                <c:pt idx="136">
                  <c:v>2.1489999999999999E-2</c:v>
                </c:pt>
                <c:pt idx="137">
                  <c:v>2.147E-2</c:v>
                </c:pt>
                <c:pt idx="138">
                  <c:v>2.1409999999999998E-2</c:v>
                </c:pt>
                <c:pt idx="139">
                  <c:v>2.0539999999999999E-2</c:v>
                </c:pt>
                <c:pt idx="140">
                  <c:v>2.0480000000000002E-2</c:v>
                </c:pt>
                <c:pt idx="141">
                  <c:v>2.001E-2</c:v>
                </c:pt>
                <c:pt idx="142">
                  <c:v>1.968E-2</c:v>
                </c:pt>
                <c:pt idx="143">
                  <c:v>1.8700000000000001E-2</c:v>
                </c:pt>
                <c:pt idx="144">
                  <c:v>1.8589999999999999E-2</c:v>
                </c:pt>
                <c:pt idx="145">
                  <c:v>1.8329999999999999E-2</c:v>
                </c:pt>
                <c:pt idx="146">
                  <c:v>1.634E-2</c:v>
                </c:pt>
                <c:pt idx="147">
                  <c:v>1.618E-2</c:v>
                </c:pt>
                <c:pt idx="148">
                  <c:v>1.5730000000000001E-2</c:v>
                </c:pt>
                <c:pt idx="149">
                  <c:v>1.5049999999999999E-2</c:v>
                </c:pt>
                <c:pt idx="150">
                  <c:v>1.5010000000000001E-2</c:v>
                </c:pt>
                <c:pt idx="151">
                  <c:v>1.431E-2</c:v>
                </c:pt>
                <c:pt idx="152">
                  <c:v>1.359E-2</c:v>
                </c:pt>
                <c:pt idx="153">
                  <c:v>1.025E-2</c:v>
                </c:pt>
                <c:pt idx="154">
                  <c:v>9.6100000000000005E-3</c:v>
                </c:pt>
                <c:pt idx="155">
                  <c:v>6.4900000000000001E-3</c:v>
                </c:pt>
                <c:pt idx="156">
                  <c:v>6.1000000000000004E-3</c:v>
                </c:pt>
                <c:pt idx="157">
                  <c:v>5.9500000000000004E-3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0-4E61-BEBC-4E65E640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0639"/>
        <c:axId val="160093775"/>
      </c:scatterChart>
      <c:valAx>
        <c:axId val="17538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GC_Skew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3775"/>
        <c:crosses val="autoZero"/>
        <c:crossBetween val="midCat"/>
      </c:valAx>
      <c:valAx>
        <c:axId val="1600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142875</xdr:colOff>
      <xdr:row>29</xdr:row>
      <xdr:rowOff>36738</xdr:rowOff>
    </xdr:from>
    <xdr:to>
      <xdr:col>68</xdr:col>
      <xdr:colOff>469446</xdr:colOff>
      <xdr:row>57</xdr:row>
      <xdr:rowOff>68035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F1280-CB44-49F3-97C3-9B6918F99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1222375</xdr:colOff>
      <xdr:row>23</xdr:row>
      <xdr:rowOff>113241</xdr:rowOff>
    </xdr:from>
    <xdr:to>
      <xdr:col>85</xdr:col>
      <xdr:colOff>148166</xdr:colOff>
      <xdr:row>37</xdr:row>
      <xdr:rowOff>189441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02FE9-9104-4948-92A1-4C8D83713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85</xdr:col>
      <xdr:colOff>221403</xdr:colOff>
      <xdr:row>23</xdr:row>
      <xdr:rowOff>113241</xdr:rowOff>
    </xdr:from>
    <xdr:to>
      <xdr:col>87</xdr:col>
      <xdr:colOff>463761</xdr:colOff>
      <xdr:row>37</xdr:row>
      <xdr:rowOff>189441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0D6149-8226-4C25-80FB-5FE1F0D80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87</xdr:col>
      <xdr:colOff>536998</xdr:colOff>
      <xdr:row>23</xdr:row>
      <xdr:rowOff>113241</xdr:rowOff>
    </xdr:from>
    <xdr:to>
      <xdr:col>89</xdr:col>
      <xdr:colOff>196215</xdr:colOff>
      <xdr:row>38</xdr:row>
      <xdr:rowOff>8466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3983FB-73E6-4C91-B273-48861A9E4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269452</xdr:colOff>
      <xdr:row>23</xdr:row>
      <xdr:rowOff>113241</xdr:rowOff>
    </xdr:from>
    <xdr:to>
      <xdr:col>91</xdr:col>
      <xdr:colOff>378459</xdr:colOff>
      <xdr:row>37</xdr:row>
      <xdr:rowOff>189441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FDCD5F-D049-42C6-9D74-AA0AA79F3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451696</xdr:colOff>
      <xdr:row>23</xdr:row>
      <xdr:rowOff>113241</xdr:rowOff>
    </xdr:from>
    <xdr:to>
      <xdr:col>93</xdr:col>
      <xdr:colOff>743796</xdr:colOff>
      <xdr:row>37</xdr:row>
      <xdr:rowOff>189441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2BE51C-7E1B-450B-BDF6-D5E3411EE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817033</xdr:colOff>
      <xdr:row>23</xdr:row>
      <xdr:rowOff>113241</xdr:rowOff>
    </xdr:from>
    <xdr:to>
      <xdr:col>95</xdr:col>
      <xdr:colOff>215900</xdr:colOff>
      <xdr:row>37</xdr:row>
      <xdr:rowOff>189441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95A72A-6E33-4093-BBB5-4A0CBDF38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95</xdr:col>
      <xdr:colOff>285751</xdr:colOff>
      <xdr:row>23</xdr:row>
      <xdr:rowOff>116417</xdr:rowOff>
    </xdr:from>
    <xdr:to>
      <xdr:col>96</xdr:col>
      <xdr:colOff>742950</xdr:colOff>
      <xdr:row>38</xdr:row>
      <xdr:rowOff>2117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E36058-A42F-40B5-BC3F-15D1E014C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1047749</xdr:colOff>
      <xdr:row>23</xdr:row>
      <xdr:rowOff>111124</xdr:rowOff>
    </xdr:from>
    <xdr:to>
      <xdr:col>82</xdr:col>
      <xdr:colOff>915458</xdr:colOff>
      <xdr:row>60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26D39E-FA47-4E73-957D-A28FC6FA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31750</xdr:colOff>
      <xdr:row>28</xdr:row>
      <xdr:rowOff>149225</xdr:rowOff>
    </xdr:from>
    <xdr:to>
      <xdr:col>69</xdr:col>
      <xdr:colOff>266915</xdr:colOff>
      <xdr:row>65</xdr:row>
      <xdr:rowOff>143667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254E70-92B3-4CCB-A192-B0E47850D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69</xdr:col>
      <xdr:colOff>381000</xdr:colOff>
      <xdr:row>28</xdr:row>
      <xdr:rowOff>158750</xdr:rowOff>
    </xdr:from>
    <xdr:to>
      <xdr:col>76</xdr:col>
      <xdr:colOff>920750</xdr:colOff>
      <xdr:row>65</xdr:row>
      <xdr:rowOff>174626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FC1B4A-9056-4CB2-BD86-2858ABF9E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2</xdr:row>
      <xdr:rowOff>152400</xdr:rowOff>
    </xdr:from>
    <xdr:to>
      <xdr:col>31</xdr:col>
      <xdr:colOff>295275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21A2C-FB2B-4F38-8D5F-2A3B393E8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31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FFC71-C658-497D-B6AF-1873A3452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92"/>
  <sheetViews>
    <sheetView topLeftCell="AN1" zoomScale="120" zoomScaleNormal="120" workbookViewId="0">
      <selection activeCell="BE10" sqref="BE10"/>
    </sheetView>
  </sheetViews>
  <sheetFormatPr baseColWidth="10" defaultColWidth="8.83203125" defaultRowHeight="15"/>
  <cols>
    <col min="5" max="5" width="17" customWidth="1"/>
    <col min="6" max="6" width="41.5" customWidth="1"/>
    <col min="7" max="7" width="15.6640625" bestFit="1" customWidth="1"/>
    <col min="8" max="8" width="30.5" bestFit="1" customWidth="1"/>
    <col min="11" max="11" width="10.1640625" bestFit="1" customWidth="1"/>
    <col min="12" max="12" width="11.33203125" bestFit="1" customWidth="1"/>
    <col min="13" max="13" width="9.5" bestFit="1" customWidth="1"/>
    <col min="14" max="14" width="9.6640625" bestFit="1" customWidth="1"/>
    <col min="15" max="15" width="10.1640625" bestFit="1" customWidth="1"/>
    <col min="16" max="17" width="15.5" bestFit="1" customWidth="1"/>
    <col min="18" max="18" width="10.83203125" bestFit="1" customWidth="1"/>
    <col min="19" max="19" width="21.83203125" bestFit="1" customWidth="1"/>
    <col min="22" max="22" width="10.83203125" bestFit="1" customWidth="1"/>
    <col min="25" max="25" width="9.33203125" bestFit="1" customWidth="1"/>
    <col min="27" max="27" width="10.1640625" bestFit="1" customWidth="1"/>
    <col min="30" max="30" width="9.5" bestFit="1" customWidth="1"/>
    <col min="32" max="32" width="10.33203125" bestFit="1" customWidth="1"/>
    <col min="33" max="33" width="9.33203125" bestFit="1" customWidth="1"/>
    <col min="35" max="35" width="6.1640625" bestFit="1" customWidth="1"/>
    <col min="36" max="36" width="7.33203125" bestFit="1" customWidth="1"/>
    <col min="37" max="37" width="10.33203125" bestFit="1" customWidth="1"/>
    <col min="38" max="38" width="8.5" bestFit="1" customWidth="1"/>
    <col min="39" max="39" width="11.5" bestFit="1" customWidth="1"/>
    <col min="40" max="41" width="15.5" bestFit="1" customWidth="1"/>
    <col min="42" max="42" width="12.83203125" bestFit="1" customWidth="1"/>
    <col min="43" max="43" width="22" bestFit="1" customWidth="1"/>
    <col min="53" max="53" width="10" bestFit="1" customWidth="1"/>
    <col min="54" max="54" width="18" bestFit="1" customWidth="1"/>
  </cols>
  <sheetData>
    <row r="1" spans="1:59">
      <c r="B1" t="s">
        <v>0</v>
      </c>
      <c r="J1" t="s">
        <v>1</v>
      </c>
      <c r="T1" t="s">
        <v>2</v>
      </c>
      <c r="AH1" t="s">
        <v>3</v>
      </c>
      <c r="AR1" t="s">
        <v>4</v>
      </c>
    </row>
    <row r="2" spans="1:59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V2" t="s">
        <v>51</v>
      </c>
      <c r="AX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</row>
    <row r="3" spans="1:59">
      <c r="B3" t="s">
        <v>58</v>
      </c>
    </row>
    <row r="4" spans="1:59">
      <c r="A4">
        <v>156</v>
      </c>
      <c r="B4" t="s">
        <v>483</v>
      </c>
      <c r="D4" t="s">
        <v>66</v>
      </c>
      <c r="E4" t="s">
        <v>484</v>
      </c>
      <c r="F4" t="s">
        <v>485</v>
      </c>
      <c r="G4">
        <v>185</v>
      </c>
      <c r="H4" t="s">
        <v>63</v>
      </c>
      <c r="I4">
        <v>5</v>
      </c>
      <c r="J4" t="str">
        <f>HYPERLINK("Gene156-zp_tree_all.dnd", "Gene156-tree")</f>
        <v>Gene156-tree</v>
      </c>
      <c r="K4">
        <v>4</v>
      </c>
      <c r="L4">
        <v>1</v>
      </c>
      <c r="M4">
        <v>3</v>
      </c>
      <c r="N4">
        <v>1</v>
      </c>
      <c r="O4">
        <v>0.25</v>
      </c>
      <c r="P4" t="s">
        <v>112</v>
      </c>
      <c r="Q4" t="s">
        <v>65</v>
      </c>
      <c r="R4" t="s">
        <v>66</v>
      </c>
      <c r="S4" t="s">
        <v>66</v>
      </c>
      <c r="T4">
        <v>0</v>
      </c>
      <c r="U4">
        <v>0</v>
      </c>
      <c r="V4">
        <v>6</v>
      </c>
      <c r="W4">
        <v>0</v>
      </c>
      <c r="X4">
        <v>0</v>
      </c>
      <c r="Y4">
        <v>0</v>
      </c>
      <c r="Z4">
        <v>0</v>
      </c>
      <c r="AA4">
        <v>5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3</v>
      </c>
      <c r="AI4">
        <v>1</v>
      </c>
      <c r="AJ4">
        <v>5</v>
      </c>
      <c r="AK4">
        <v>1</v>
      </c>
      <c r="AL4">
        <v>14</v>
      </c>
      <c r="AM4">
        <v>5</v>
      </c>
      <c r="AN4" t="s">
        <v>486</v>
      </c>
      <c r="AO4" t="s">
        <v>487</v>
      </c>
      <c r="AP4">
        <v>0.54400000000000004</v>
      </c>
      <c r="AQ4" t="s">
        <v>69</v>
      </c>
      <c r="AR4">
        <v>19</v>
      </c>
      <c r="AS4">
        <v>6</v>
      </c>
      <c r="AT4">
        <v>2.8230000000000002E-2</v>
      </c>
      <c r="AU4">
        <v>-6.6600000000000001E-3</v>
      </c>
      <c r="AV4">
        <v>0.12328</v>
      </c>
      <c r="AW4">
        <v>-2.895E-2</v>
      </c>
      <c r="AX4">
        <v>8.6199999999999992E-3</v>
      </c>
      <c r="AY4">
        <v>-1.6900000000000001E-3</v>
      </c>
      <c r="AZ4">
        <v>6.9940000000000002E-2</v>
      </c>
      <c r="BA4">
        <v>1</v>
      </c>
      <c r="BB4" t="s">
        <v>70</v>
      </c>
      <c r="BC4">
        <v>1.24</v>
      </c>
      <c r="BD4">
        <v>1.24</v>
      </c>
      <c r="BE4" t="s">
        <v>139</v>
      </c>
      <c r="BG4" t="s">
        <v>4205</v>
      </c>
    </row>
    <row r="5" spans="1:59">
      <c r="A5">
        <v>164</v>
      </c>
      <c r="B5" t="s">
        <v>493</v>
      </c>
      <c r="D5" t="s">
        <v>66</v>
      </c>
      <c r="E5" t="s">
        <v>494</v>
      </c>
      <c r="F5" t="s">
        <v>495</v>
      </c>
      <c r="G5">
        <v>317</v>
      </c>
      <c r="H5" t="s">
        <v>85</v>
      </c>
      <c r="I5">
        <v>4</v>
      </c>
      <c r="J5" t="str">
        <f>HYPERLINK("Gene164-zp_tree_all.dnd", "Gene164-tree")</f>
        <v>Gene164-tree</v>
      </c>
      <c r="K5">
        <v>2</v>
      </c>
      <c r="L5">
        <v>2</v>
      </c>
      <c r="M5">
        <v>2</v>
      </c>
      <c r="N5">
        <v>2</v>
      </c>
      <c r="O5">
        <v>0.5</v>
      </c>
      <c r="P5" t="s">
        <v>124</v>
      </c>
      <c r="Q5" t="s">
        <v>124</v>
      </c>
      <c r="R5" t="s">
        <v>66</v>
      </c>
      <c r="S5" t="s">
        <v>66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7</v>
      </c>
      <c r="AG5">
        <v>0</v>
      </c>
      <c r="AH5">
        <v>4</v>
      </c>
      <c r="AI5">
        <v>1</v>
      </c>
      <c r="AJ5">
        <v>40</v>
      </c>
      <c r="AK5">
        <v>7</v>
      </c>
      <c r="AL5">
        <v>2</v>
      </c>
      <c r="AM5">
        <v>0</v>
      </c>
      <c r="AN5" t="s">
        <v>496</v>
      </c>
      <c r="AO5" t="s">
        <v>68</v>
      </c>
      <c r="AP5">
        <v>0.86399999999999999</v>
      </c>
      <c r="AQ5" t="s">
        <v>69</v>
      </c>
      <c r="AR5">
        <v>42</v>
      </c>
      <c r="AS5">
        <v>7</v>
      </c>
      <c r="AT5">
        <v>2.6110000000000001E-2</v>
      </c>
      <c r="AU5">
        <v>-5.5500000000000002E-3</v>
      </c>
      <c r="AV5">
        <v>0.11282</v>
      </c>
      <c r="AW5">
        <v>-2.4660000000000001E-2</v>
      </c>
      <c r="AX5">
        <v>4.7299999999999998E-3</v>
      </c>
      <c r="AY5">
        <v>-1.31E-3</v>
      </c>
      <c r="AZ5">
        <v>4.1939999999999998E-2</v>
      </c>
      <c r="BA5">
        <v>1</v>
      </c>
      <c r="BB5" t="s">
        <v>70</v>
      </c>
      <c r="BC5">
        <v>-0.73699999999999999</v>
      </c>
      <c r="BD5">
        <v>-0.73699999999999999</v>
      </c>
      <c r="BE5" t="s">
        <v>139</v>
      </c>
      <c r="BG5">
        <f>AVERAGE(AT4:AT909)</f>
        <v>2.6561026490066225E-2</v>
      </c>
    </row>
    <row r="6" spans="1:59">
      <c r="A6">
        <v>210</v>
      </c>
      <c r="B6" t="s">
        <v>537</v>
      </c>
      <c r="D6" t="s">
        <v>66</v>
      </c>
      <c r="E6" t="s">
        <v>538</v>
      </c>
      <c r="F6" t="s">
        <v>74</v>
      </c>
      <c r="G6">
        <v>86</v>
      </c>
      <c r="H6" t="s">
        <v>106</v>
      </c>
      <c r="I6">
        <v>4</v>
      </c>
      <c r="J6" t="str">
        <f>HYPERLINK("Gene210-zp_tree_all.dnd", "Gene210-tree")</f>
        <v>Gene210-tree</v>
      </c>
      <c r="K6">
        <v>3</v>
      </c>
      <c r="L6">
        <v>1</v>
      </c>
      <c r="M6">
        <v>3</v>
      </c>
      <c r="N6">
        <v>1</v>
      </c>
      <c r="O6">
        <v>0.25</v>
      </c>
      <c r="P6" t="s">
        <v>86</v>
      </c>
      <c r="Q6" t="s">
        <v>65</v>
      </c>
      <c r="R6" t="s">
        <v>66</v>
      </c>
      <c r="S6" t="s">
        <v>66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0</v>
      </c>
      <c r="AH6">
        <v>3</v>
      </c>
      <c r="AI6">
        <v>1</v>
      </c>
      <c r="AJ6">
        <v>6</v>
      </c>
      <c r="AK6">
        <v>2</v>
      </c>
      <c r="AL6">
        <v>1</v>
      </c>
      <c r="AM6">
        <v>0</v>
      </c>
      <c r="AN6" t="s">
        <v>539</v>
      </c>
      <c r="AO6" t="s">
        <v>68</v>
      </c>
      <c r="AP6">
        <v>0.68600000000000005</v>
      </c>
      <c r="AQ6" t="s">
        <v>69</v>
      </c>
      <c r="AR6">
        <v>7</v>
      </c>
      <c r="AS6">
        <v>2</v>
      </c>
      <c r="AT6">
        <v>1.8089999999999998E-2</v>
      </c>
      <c r="AU6">
        <v>-4.3499999999999997E-3</v>
      </c>
      <c r="AV6">
        <v>7.1940000000000004E-2</v>
      </c>
      <c r="AW6">
        <v>-1.485E-2</v>
      </c>
      <c r="AX6">
        <v>4.9399999999999999E-3</v>
      </c>
      <c r="AY6">
        <v>-2.0200000000000001E-3</v>
      </c>
      <c r="AZ6">
        <v>6.8610000000000004E-2</v>
      </c>
      <c r="BA6">
        <v>1</v>
      </c>
      <c r="BB6" t="s">
        <v>70</v>
      </c>
      <c r="BC6">
        <v>-0.49199999999999999</v>
      </c>
      <c r="BD6">
        <v>-0.49199999999999999</v>
      </c>
      <c r="BE6" t="s">
        <v>139</v>
      </c>
    </row>
    <row r="7" spans="1:59">
      <c r="A7">
        <v>258</v>
      </c>
      <c r="B7" t="s">
        <v>547</v>
      </c>
      <c r="D7" t="s">
        <v>66</v>
      </c>
      <c r="E7" t="s">
        <v>548</v>
      </c>
      <c r="F7" t="s">
        <v>74</v>
      </c>
      <c r="G7">
        <v>128</v>
      </c>
      <c r="H7" t="s">
        <v>63</v>
      </c>
      <c r="I7">
        <v>5</v>
      </c>
      <c r="J7" t="str">
        <f>HYPERLINK("Gene258-zp_tree_all.dnd", "Gene258-tree")</f>
        <v>Gene258-tree</v>
      </c>
      <c r="K7">
        <v>4</v>
      </c>
      <c r="L7">
        <v>1</v>
      </c>
      <c r="M7">
        <v>4</v>
      </c>
      <c r="N7">
        <v>1</v>
      </c>
      <c r="O7">
        <v>0.2</v>
      </c>
      <c r="P7" t="s">
        <v>64</v>
      </c>
      <c r="Q7" t="s">
        <v>65</v>
      </c>
      <c r="R7" t="s">
        <v>66</v>
      </c>
      <c r="S7" t="s">
        <v>66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4</v>
      </c>
      <c r="AI7">
        <v>2</v>
      </c>
      <c r="AJ7">
        <v>12</v>
      </c>
      <c r="AK7">
        <v>1</v>
      </c>
      <c r="AL7">
        <v>11</v>
      </c>
      <c r="AM7">
        <v>2</v>
      </c>
      <c r="AN7" t="s">
        <v>549</v>
      </c>
      <c r="AO7" t="s">
        <v>550</v>
      </c>
      <c r="AP7">
        <v>0.41899999999999998</v>
      </c>
      <c r="AQ7" t="s">
        <v>69</v>
      </c>
      <c r="AR7">
        <v>23</v>
      </c>
      <c r="AS7">
        <v>3</v>
      </c>
      <c r="AT7">
        <v>3.3849999999999998E-2</v>
      </c>
      <c r="AU7">
        <v>-5.4999999999999997E-3</v>
      </c>
      <c r="AV7">
        <v>0.14027999999999999</v>
      </c>
      <c r="AW7">
        <v>-2.256E-2</v>
      </c>
      <c r="AX7">
        <v>5.4900000000000001E-3</v>
      </c>
      <c r="AY7">
        <v>-1.2999999999999999E-3</v>
      </c>
      <c r="AZ7">
        <v>3.9170000000000003E-2</v>
      </c>
      <c r="BA7">
        <v>1</v>
      </c>
      <c r="BB7" t="s">
        <v>70</v>
      </c>
      <c r="BC7">
        <v>0.31</v>
      </c>
      <c r="BD7">
        <v>0.31</v>
      </c>
      <c r="BE7" t="s">
        <v>139</v>
      </c>
    </row>
    <row r="8" spans="1:59">
      <c r="A8">
        <v>329</v>
      </c>
      <c r="B8" t="s">
        <v>606</v>
      </c>
      <c r="D8" t="s">
        <v>66</v>
      </c>
      <c r="E8" t="s">
        <v>607</v>
      </c>
      <c r="F8" t="s">
        <v>608</v>
      </c>
      <c r="G8">
        <v>106</v>
      </c>
      <c r="H8" t="s">
        <v>63</v>
      </c>
      <c r="I8">
        <v>5</v>
      </c>
      <c r="J8" t="str">
        <f>HYPERLINK("Gene329-zp_tree_all.dnd", "Gene329-tree")</f>
        <v>Gene329-tree</v>
      </c>
      <c r="K8">
        <v>4</v>
      </c>
      <c r="L8">
        <v>1</v>
      </c>
      <c r="M8">
        <v>4</v>
      </c>
      <c r="N8">
        <v>1</v>
      </c>
      <c r="O8">
        <v>0.2</v>
      </c>
      <c r="P8" t="s">
        <v>64</v>
      </c>
      <c r="Q8" t="s">
        <v>65</v>
      </c>
      <c r="R8" t="s">
        <v>66</v>
      </c>
      <c r="S8" t="s">
        <v>66</v>
      </c>
      <c r="T8">
        <v>0</v>
      </c>
      <c r="U8">
        <v>0</v>
      </c>
      <c r="V8">
        <v>3</v>
      </c>
      <c r="W8">
        <v>0</v>
      </c>
      <c r="X8">
        <v>0</v>
      </c>
      <c r="Y8">
        <v>0</v>
      </c>
      <c r="Z8">
        <v>0</v>
      </c>
      <c r="AA8">
        <v>2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5</v>
      </c>
      <c r="AI8">
        <v>2</v>
      </c>
      <c r="AJ8">
        <v>7</v>
      </c>
      <c r="AK8">
        <v>1</v>
      </c>
      <c r="AL8">
        <v>7</v>
      </c>
      <c r="AM8">
        <v>2</v>
      </c>
      <c r="AN8" t="s">
        <v>609</v>
      </c>
      <c r="AO8" t="s">
        <v>610</v>
      </c>
      <c r="AP8">
        <v>0.39200000000000002</v>
      </c>
      <c r="AQ8" t="s">
        <v>69</v>
      </c>
      <c r="AR8">
        <v>14</v>
      </c>
      <c r="AS8">
        <v>3</v>
      </c>
      <c r="AT8">
        <v>2.7040000000000002E-2</v>
      </c>
      <c r="AU8">
        <v>-4.4299999999999999E-3</v>
      </c>
      <c r="AV8">
        <v>0.10897</v>
      </c>
      <c r="AW8">
        <v>-1.89E-2</v>
      </c>
      <c r="AX8">
        <v>6.4999999999999997E-3</v>
      </c>
      <c r="AY8">
        <v>-1.1800000000000001E-3</v>
      </c>
      <c r="AZ8">
        <v>5.9659999999999998E-2</v>
      </c>
      <c r="BA8">
        <v>1</v>
      </c>
      <c r="BB8" t="s">
        <v>70</v>
      </c>
      <c r="BC8">
        <v>0.39600000000000002</v>
      </c>
      <c r="BD8">
        <v>0.39600000000000002</v>
      </c>
      <c r="BE8" t="s">
        <v>139</v>
      </c>
    </row>
    <row r="9" spans="1:59">
      <c r="A9">
        <v>358</v>
      </c>
      <c r="B9" t="s">
        <v>625</v>
      </c>
      <c r="D9" t="s">
        <v>66</v>
      </c>
      <c r="E9" t="s">
        <v>626</v>
      </c>
      <c r="F9" t="s">
        <v>74</v>
      </c>
      <c r="G9">
        <v>215</v>
      </c>
      <c r="H9" t="s">
        <v>85</v>
      </c>
      <c r="I9">
        <v>4</v>
      </c>
      <c r="J9" t="str">
        <f>HYPERLINK("Gene358-zp_tree_all.dnd", "Gene358-tree")</f>
        <v>Gene358-tree</v>
      </c>
      <c r="K9">
        <v>2</v>
      </c>
      <c r="L9">
        <v>2</v>
      </c>
      <c r="M9">
        <v>2</v>
      </c>
      <c r="N9">
        <v>2</v>
      </c>
      <c r="O9">
        <v>0.5</v>
      </c>
      <c r="P9" t="s">
        <v>124</v>
      </c>
      <c r="Q9" t="s">
        <v>124</v>
      </c>
      <c r="R9" t="s">
        <v>66</v>
      </c>
      <c r="S9" t="s">
        <v>66</v>
      </c>
      <c r="T9">
        <v>0</v>
      </c>
      <c r="U9">
        <v>0</v>
      </c>
      <c r="V9">
        <v>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8</v>
      </c>
      <c r="AG9">
        <v>0</v>
      </c>
      <c r="AH9">
        <v>4</v>
      </c>
      <c r="AI9">
        <v>1</v>
      </c>
      <c r="AJ9">
        <v>25</v>
      </c>
      <c r="AK9">
        <v>8</v>
      </c>
      <c r="AL9">
        <v>1</v>
      </c>
      <c r="AM9">
        <v>0</v>
      </c>
      <c r="AN9" t="s">
        <v>627</v>
      </c>
      <c r="AO9" t="s">
        <v>68</v>
      </c>
      <c r="AP9">
        <v>0.94499999999999995</v>
      </c>
      <c r="AQ9" t="s">
        <v>69</v>
      </c>
      <c r="AR9">
        <v>26</v>
      </c>
      <c r="AS9">
        <v>8</v>
      </c>
      <c r="AT9">
        <v>2.6360000000000001E-2</v>
      </c>
      <c r="AU9">
        <v>-5.0800000000000003E-3</v>
      </c>
      <c r="AV9">
        <v>8.3570000000000005E-2</v>
      </c>
      <c r="AW9">
        <v>-1.4670000000000001E-2</v>
      </c>
      <c r="AX9">
        <v>8.4200000000000004E-3</v>
      </c>
      <c r="AY9">
        <v>-2.4399999999999999E-3</v>
      </c>
      <c r="AZ9">
        <v>0.10077</v>
      </c>
      <c r="BA9">
        <v>1</v>
      </c>
      <c r="BB9" t="s">
        <v>70</v>
      </c>
      <c r="BC9">
        <v>-0.57499999999999996</v>
      </c>
      <c r="BD9">
        <v>-0.86299999999999999</v>
      </c>
      <c r="BE9" t="s">
        <v>139</v>
      </c>
    </row>
    <row r="10" spans="1:59">
      <c r="A10">
        <v>359</v>
      </c>
      <c r="B10" t="s">
        <v>628</v>
      </c>
      <c r="D10" t="s">
        <v>66</v>
      </c>
      <c r="E10" t="s">
        <v>629</v>
      </c>
      <c r="F10" t="s">
        <v>630</v>
      </c>
      <c r="G10">
        <v>247</v>
      </c>
      <c r="H10" t="s">
        <v>63</v>
      </c>
      <c r="I10">
        <v>5</v>
      </c>
      <c r="J10" t="str">
        <f>HYPERLINK("Gene359-zp_tree_all.dnd", "Gene359-tree")</f>
        <v>Gene359-tree</v>
      </c>
      <c r="K10">
        <v>2</v>
      </c>
      <c r="L10">
        <v>3</v>
      </c>
      <c r="M10">
        <v>2</v>
      </c>
      <c r="N10">
        <v>3</v>
      </c>
      <c r="O10">
        <v>0.6</v>
      </c>
      <c r="P10" t="s">
        <v>124</v>
      </c>
      <c r="Q10" t="s">
        <v>86</v>
      </c>
      <c r="R10" t="s">
        <v>66</v>
      </c>
      <c r="S10" t="s">
        <v>66</v>
      </c>
      <c r="T10">
        <v>0</v>
      </c>
      <c r="U10">
        <v>0</v>
      </c>
      <c r="V10">
        <v>8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6</v>
      </c>
      <c r="AG10">
        <v>0</v>
      </c>
      <c r="AH10">
        <v>5</v>
      </c>
      <c r="AI10">
        <v>2</v>
      </c>
      <c r="AJ10">
        <v>26</v>
      </c>
      <c r="AK10">
        <v>6</v>
      </c>
      <c r="AL10">
        <v>20</v>
      </c>
      <c r="AM10">
        <v>2</v>
      </c>
      <c r="AN10" t="s">
        <v>631</v>
      </c>
      <c r="AO10" t="s">
        <v>632</v>
      </c>
      <c r="AP10">
        <v>0.77900000000000003</v>
      </c>
      <c r="AQ10" t="s">
        <v>69</v>
      </c>
      <c r="AR10">
        <v>46</v>
      </c>
      <c r="AS10">
        <v>8</v>
      </c>
      <c r="AT10">
        <v>3.4279999999999998E-2</v>
      </c>
      <c r="AU10">
        <v>-4.8500000000000001E-3</v>
      </c>
      <c r="AV10">
        <v>0.14565</v>
      </c>
      <c r="AW10">
        <v>-2.291E-2</v>
      </c>
      <c r="AX10">
        <v>6.3200000000000001E-3</v>
      </c>
      <c r="AY10">
        <v>-9.3999999999999997E-4</v>
      </c>
      <c r="AZ10">
        <v>4.3389999999999998E-2</v>
      </c>
      <c r="BA10">
        <v>1</v>
      </c>
      <c r="BB10" t="s">
        <v>70</v>
      </c>
      <c r="BC10">
        <v>0.13300000000000001</v>
      </c>
      <c r="BD10">
        <v>1.2E-2</v>
      </c>
      <c r="BE10" t="s">
        <v>139</v>
      </c>
    </row>
    <row r="11" spans="1:59">
      <c r="A11">
        <v>360</v>
      </c>
      <c r="B11" t="s">
        <v>633</v>
      </c>
      <c r="D11" t="s">
        <v>66</v>
      </c>
      <c r="E11" t="s">
        <v>634</v>
      </c>
      <c r="F11" t="s">
        <v>635</v>
      </c>
      <c r="G11">
        <v>234</v>
      </c>
      <c r="H11" t="s">
        <v>63</v>
      </c>
      <c r="I11">
        <v>5</v>
      </c>
      <c r="J11" t="str">
        <f>HYPERLINK("Gene360-zp_tree_all.dnd", "Gene360-tree")</f>
        <v>Gene360-tree</v>
      </c>
      <c r="K11">
        <v>3</v>
      </c>
      <c r="L11">
        <v>2</v>
      </c>
      <c r="M11">
        <v>3</v>
      </c>
      <c r="N11">
        <v>2</v>
      </c>
      <c r="O11">
        <v>0.4</v>
      </c>
      <c r="P11" t="s">
        <v>86</v>
      </c>
      <c r="Q11" t="s">
        <v>124</v>
      </c>
      <c r="R11" t="s">
        <v>66</v>
      </c>
      <c r="S11" t="s">
        <v>66</v>
      </c>
      <c r="T11">
        <v>1</v>
      </c>
      <c r="U11">
        <v>2</v>
      </c>
      <c r="V11">
        <v>3</v>
      </c>
      <c r="W11">
        <v>0.4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2</v>
      </c>
      <c r="AJ11">
        <v>9</v>
      </c>
      <c r="AK11">
        <v>3</v>
      </c>
      <c r="AL11">
        <v>10</v>
      </c>
      <c r="AM11">
        <v>2</v>
      </c>
      <c r="AN11" t="s">
        <v>636</v>
      </c>
      <c r="AO11" t="s">
        <v>637</v>
      </c>
      <c r="AP11">
        <v>0.56499999999999995</v>
      </c>
      <c r="AQ11" t="s">
        <v>69</v>
      </c>
      <c r="AR11">
        <v>19</v>
      </c>
      <c r="AS11">
        <v>5</v>
      </c>
      <c r="AT11">
        <v>1.61E-2</v>
      </c>
      <c r="AU11">
        <v>-2.5600000000000002E-3</v>
      </c>
      <c r="AV11">
        <v>5.5140000000000002E-2</v>
      </c>
      <c r="AW11">
        <v>-9.3399999999999993E-3</v>
      </c>
      <c r="AX11">
        <v>3.82E-3</v>
      </c>
      <c r="AY11">
        <v>-5.9999999999999995E-4</v>
      </c>
      <c r="AZ11">
        <v>6.9269999999999998E-2</v>
      </c>
      <c r="BA11">
        <v>1</v>
      </c>
      <c r="BB11" t="s">
        <v>70</v>
      </c>
      <c r="BC11">
        <v>0.52</v>
      </c>
      <c r="BD11">
        <v>0.16900000000000001</v>
      </c>
      <c r="BE11" t="s">
        <v>139</v>
      </c>
    </row>
    <row r="12" spans="1:59">
      <c r="A12">
        <v>389</v>
      </c>
      <c r="B12" t="s">
        <v>669</v>
      </c>
      <c r="D12" t="s">
        <v>66</v>
      </c>
      <c r="E12" t="s">
        <v>670</v>
      </c>
      <c r="F12" t="s">
        <v>671</v>
      </c>
      <c r="G12">
        <v>95</v>
      </c>
      <c r="H12" t="s">
        <v>63</v>
      </c>
      <c r="I12">
        <v>5</v>
      </c>
      <c r="J12" t="str">
        <f>HYPERLINK("Gene389-zp_tree_all.dnd", "Gene389-tree")</f>
        <v>Gene389-tree</v>
      </c>
      <c r="K12">
        <v>4</v>
      </c>
      <c r="L12">
        <v>1</v>
      </c>
      <c r="M12">
        <v>3</v>
      </c>
      <c r="N12">
        <v>1</v>
      </c>
      <c r="O12">
        <v>0.25</v>
      </c>
      <c r="P12" t="s">
        <v>112</v>
      </c>
      <c r="Q12" t="s">
        <v>65</v>
      </c>
      <c r="R12" t="s">
        <v>66</v>
      </c>
      <c r="S12" t="s">
        <v>66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3</v>
      </c>
      <c r="AI12">
        <v>1</v>
      </c>
      <c r="AJ12">
        <v>5</v>
      </c>
      <c r="AK12">
        <v>1</v>
      </c>
      <c r="AL12">
        <v>8</v>
      </c>
      <c r="AM12">
        <v>1</v>
      </c>
      <c r="AN12" t="s">
        <v>672</v>
      </c>
      <c r="AO12" t="s">
        <v>673</v>
      </c>
      <c r="AP12">
        <v>0.311</v>
      </c>
      <c r="AQ12" t="s">
        <v>69</v>
      </c>
      <c r="AR12">
        <v>13</v>
      </c>
      <c r="AS12">
        <v>2</v>
      </c>
      <c r="AT12">
        <v>3.1910000000000001E-2</v>
      </c>
      <c r="AU12">
        <v>-6.4200000000000004E-3</v>
      </c>
      <c r="AV12">
        <v>0.15090000000000001</v>
      </c>
      <c r="AW12">
        <v>-3.2530000000000003E-2</v>
      </c>
      <c r="AX12">
        <v>5.2500000000000003E-3</v>
      </c>
      <c r="AY12">
        <v>-9.1E-4</v>
      </c>
      <c r="AZ12">
        <v>3.4810000000000001E-2</v>
      </c>
      <c r="BA12">
        <v>1</v>
      </c>
      <c r="BB12" t="s">
        <v>70</v>
      </c>
      <c r="BC12">
        <v>0.81200000000000006</v>
      </c>
      <c r="BD12">
        <v>0.81200000000000006</v>
      </c>
      <c r="BE12" t="s">
        <v>139</v>
      </c>
    </row>
    <row r="13" spans="1:59">
      <c r="A13">
        <v>417</v>
      </c>
      <c r="B13" t="s">
        <v>679</v>
      </c>
      <c r="D13" t="s">
        <v>66</v>
      </c>
      <c r="E13" t="s">
        <v>680</v>
      </c>
      <c r="F13" t="s">
        <v>74</v>
      </c>
      <c r="G13">
        <v>95</v>
      </c>
      <c r="H13" t="s">
        <v>63</v>
      </c>
      <c r="I13">
        <v>5</v>
      </c>
      <c r="J13" t="str">
        <f>HYPERLINK("Gene417-zp_tree_all.dnd", "Gene417-tree")</f>
        <v>Gene417-tree</v>
      </c>
      <c r="K13">
        <v>4</v>
      </c>
      <c r="L13">
        <v>1</v>
      </c>
      <c r="M13">
        <v>4</v>
      </c>
      <c r="N13">
        <v>1</v>
      </c>
      <c r="O13">
        <v>0.2</v>
      </c>
      <c r="P13" t="s">
        <v>64</v>
      </c>
      <c r="Q13" t="s">
        <v>65</v>
      </c>
      <c r="R13" t="s">
        <v>66</v>
      </c>
      <c r="S13" t="s">
        <v>66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4</v>
      </c>
      <c r="AI13">
        <v>2</v>
      </c>
      <c r="AJ13">
        <v>8</v>
      </c>
      <c r="AK13">
        <v>1</v>
      </c>
      <c r="AL13">
        <v>5</v>
      </c>
      <c r="AM13">
        <v>1</v>
      </c>
      <c r="AN13" t="s">
        <v>681</v>
      </c>
      <c r="AO13" t="s">
        <v>682</v>
      </c>
      <c r="AP13">
        <v>0.246</v>
      </c>
      <c r="AQ13" t="s">
        <v>69</v>
      </c>
      <c r="AR13">
        <v>13</v>
      </c>
      <c r="AS13">
        <v>2</v>
      </c>
      <c r="AT13">
        <v>2.5530000000000001E-2</v>
      </c>
      <c r="AU13">
        <v>-4.5599999999999998E-3</v>
      </c>
      <c r="AV13">
        <v>0.11352</v>
      </c>
      <c r="AW13">
        <v>-2.0299999999999999E-2</v>
      </c>
      <c r="AX13">
        <v>4.5300000000000002E-3</v>
      </c>
      <c r="AY13">
        <v>-1.1100000000000001E-3</v>
      </c>
      <c r="AZ13">
        <v>3.9910000000000001E-2</v>
      </c>
      <c r="BA13">
        <v>1</v>
      </c>
      <c r="BB13" t="s">
        <v>70</v>
      </c>
      <c r="BC13">
        <v>0</v>
      </c>
      <c r="BD13">
        <v>0</v>
      </c>
      <c r="BE13" t="s">
        <v>139</v>
      </c>
    </row>
    <row r="14" spans="1:59">
      <c r="A14">
        <v>428</v>
      </c>
      <c r="B14" t="s">
        <v>687</v>
      </c>
      <c r="D14" t="s">
        <v>66</v>
      </c>
      <c r="E14" t="s">
        <v>688</v>
      </c>
      <c r="F14" t="s">
        <v>74</v>
      </c>
      <c r="G14">
        <v>96</v>
      </c>
      <c r="H14" t="s">
        <v>85</v>
      </c>
      <c r="I14">
        <v>4</v>
      </c>
      <c r="J14" t="str">
        <f>HYPERLINK("Gene428-zp_tree_all.dnd", "Gene428-tree")</f>
        <v>Gene428-tree</v>
      </c>
      <c r="K14">
        <v>1</v>
      </c>
      <c r="L14">
        <v>3</v>
      </c>
      <c r="M14">
        <v>1</v>
      </c>
      <c r="N14">
        <v>3</v>
      </c>
      <c r="O14">
        <v>0.75</v>
      </c>
      <c r="P14" t="s">
        <v>65</v>
      </c>
      <c r="Q14" t="s">
        <v>86</v>
      </c>
      <c r="R14" t="s">
        <v>66</v>
      </c>
      <c r="S14" t="s">
        <v>66</v>
      </c>
      <c r="T14">
        <v>0</v>
      </c>
      <c r="U14">
        <v>0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1</v>
      </c>
      <c r="AJ14">
        <v>7</v>
      </c>
      <c r="AK14">
        <v>4</v>
      </c>
      <c r="AL14">
        <v>4</v>
      </c>
      <c r="AM14">
        <v>0</v>
      </c>
      <c r="AN14" t="s">
        <v>689</v>
      </c>
      <c r="AO14" t="s">
        <v>68</v>
      </c>
      <c r="AP14">
        <v>1.6240000000000001</v>
      </c>
      <c r="AQ14" t="s">
        <v>69</v>
      </c>
      <c r="AR14">
        <v>11</v>
      </c>
      <c r="AS14">
        <v>4</v>
      </c>
      <c r="AT14">
        <v>2.836E-2</v>
      </c>
      <c r="AU14">
        <v>-4.13E-3</v>
      </c>
      <c r="AV14">
        <v>9.0730000000000005E-2</v>
      </c>
      <c r="AW14">
        <v>-1.5640000000000001E-2</v>
      </c>
      <c r="AX14">
        <v>9.3699999999999999E-3</v>
      </c>
      <c r="AY14">
        <v>-1.57E-3</v>
      </c>
      <c r="AZ14">
        <v>0.10324</v>
      </c>
      <c r="BA14">
        <v>1</v>
      </c>
      <c r="BB14" t="s">
        <v>70</v>
      </c>
      <c r="BC14">
        <v>-1.9E-2</v>
      </c>
      <c r="BD14">
        <v>-1.9E-2</v>
      </c>
      <c r="BE14" t="s">
        <v>139</v>
      </c>
    </row>
    <row r="15" spans="1:59">
      <c r="A15">
        <v>457</v>
      </c>
      <c r="B15" t="s">
        <v>711</v>
      </c>
      <c r="D15" t="s">
        <v>66</v>
      </c>
      <c r="E15" t="s">
        <v>712</v>
      </c>
      <c r="F15" t="s">
        <v>74</v>
      </c>
      <c r="G15">
        <v>59</v>
      </c>
      <c r="H15" t="s">
        <v>63</v>
      </c>
      <c r="I15">
        <v>5</v>
      </c>
      <c r="J15" t="str">
        <f>HYPERLINK("Gene457-zp_tree_all.dnd", "Gene457-tree")</f>
        <v>Gene457-tree</v>
      </c>
      <c r="K15">
        <v>1</v>
      </c>
      <c r="L15">
        <v>4</v>
      </c>
      <c r="M15">
        <v>1</v>
      </c>
      <c r="N15">
        <v>4</v>
      </c>
      <c r="O15">
        <v>0.8</v>
      </c>
      <c r="P15" t="s">
        <v>65</v>
      </c>
      <c r="Q15" t="s">
        <v>64</v>
      </c>
      <c r="R15" t="s">
        <v>66</v>
      </c>
      <c r="S15" t="s">
        <v>66</v>
      </c>
      <c r="T15">
        <v>1</v>
      </c>
      <c r="U15">
        <v>2</v>
      </c>
      <c r="V15">
        <v>5</v>
      </c>
      <c r="W15">
        <v>0.28571000000000002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2</v>
      </c>
      <c r="AF15">
        <v>5</v>
      </c>
      <c r="AG15">
        <v>0.28571000000000002</v>
      </c>
      <c r="AH15">
        <v>4</v>
      </c>
      <c r="AI15">
        <v>2</v>
      </c>
      <c r="AJ15">
        <v>3</v>
      </c>
      <c r="AK15">
        <v>7</v>
      </c>
      <c r="AL15">
        <v>3</v>
      </c>
      <c r="AM15">
        <v>0</v>
      </c>
      <c r="AN15" t="s">
        <v>713</v>
      </c>
      <c r="AO15" t="s">
        <v>68</v>
      </c>
      <c r="AP15">
        <v>2.2309999999999999</v>
      </c>
      <c r="AQ15" t="s">
        <v>239</v>
      </c>
      <c r="AR15">
        <v>6</v>
      </c>
      <c r="AS15">
        <v>7</v>
      </c>
      <c r="AT15">
        <v>3.0509999999999999E-2</v>
      </c>
      <c r="AU15">
        <v>-4.0899999999999999E-3</v>
      </c>
      <c r="AV15">
        <v>7.7310000000000004E-2</v>
      </c>
      <c r="AW15">
        <v>-1.072E-2</v>
      </c>
      <c r="AX15">
        <v>2.018E-2</v>
      </c>
      <c r="AY15">
        <v>-3.8300000000000001E-3</v>
      </c>
      <c r="AZ15">
        <v>0.26107999999999998</v>
      </c>
      <c r="BA15">
        <v>0.91900000000000004</v>
      </c>
      <c r="BB15" t="s">
        <v>188</v>
      </c>
      <c r="BC15">
        <v>-0.45200000000000001</v>
      </c>
      <c r="BD15">
        <v>-0.45200000000000001</v>
      </c>
      <c r="BE15" t="s">
        <v>139</v>
      </c>
    </row>
    <row r="16" spans="1:59">
      <c r="A16">
        <v>459</v>
      </c>
      <c r="B16" t="s">
        <v>714</v>
      </c>
      <c r="D16" t="s">
        <v>66</v>
      </c>
      <c r="E16" t="s">
        <v>715</v>
      </c>
      <c r="F16" t="s">
        <v>716</v>
      </c>
      <c r="G16">
        <v>106</v>
      </c>
      <c r="H16" t="s">
        <v>63</v>
      </c>
      <c r="I16">
        <v>5</v>
      </c>
      <c r="J16" t="str">
        <f>HYPERLINK("Gene459-zp_tree_all.dnd", "Gene459-tree")</f>
        <v>Gene459-tree</v>
      </c>
      <c r="K16">
        <v>5</v>
      </c>
      <c r="L16">
        <v>0</v>
      </c>
      <c r="M16">
        <v>5</v>
      </c>
      <c r="N16">
        <v>0</v>
      </c>
      <c r="O16">
        <v>0</v>
      </c>
      <c r="P16" t="s">
        <v>96</v>
      </c>
      <c r="Q16" t="s">
        <v>66</v>
      </c>
      <c r="R16" t="s">
        <v>66</v>
      </c>
      <c r="S16" t="s">
        <v>66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</v>
      </c>
      <c r="AI16">
        <v>2</v>
      </c>
      <c r="AJ16">
        <v>8</v>
      </c>
      <c r="AK16">
        <v>0</v>
      </c>
      <c r="AL16">
        <v>10</v>
      </c>
      <c r="AM16">
        <v>1</v>
      </c>
      <c r="AN16" t="s">
        <v>68</v>
      </c>
      <c r="AO16" t="s">
        <v>717</v>
      </c>
      <c r="AP16">
        <v>1.0189999999999999</v>
      </c>
      <c r="AQ16" t="s">
        <v>69</v>
      </c>
      <c r="AR16">
        <v>18</v>
      </c>
      <c r="AS16">
        <v>1</v>
      </c>
      <c r="AT16">
        <v>2.8299999999999999E-2</v>
      </c>
      <c r="AU16">
        <v>-4.7099999999999998E-3</v>
      </c>
      <c r="AV16">
        <v>0.15572</v>
      </c>
      <c r="AW16">
        <v>-2.6329999999999999E-2</v>
      </c>
      <c r="AX16">
        <v>2.3400000000000001E-3</v>
      </c>
      <c r="AY16">
        <v>-5.5999999999999995E-4</v>
      </c>
      <c r="AZ16">
        <v>1.5049999999999999E-2</v>
      </c>
      <c r="BA16">
        <v>1</v>
      </c>
      <c r="BB16" t="s">
        <v>70</v>
      </c>
      <c r="BC16">
        <v>1.26</v>
      </c>
      <c r="BD16">
        <v>1.26</v>
      </c>
      <c r="BE16" t="s">
        <v>139</v>
      </c>
    </row>
    <row r="17" spans="1:57">
      <c r="A17">
        <v>524</v>
      </c>
      <c r="B17" t="s">
        <v>766</v>
      </c>
      <c r="D17" t="s">
        <v>66</v>
      </c>
      <c r="E17" t="s">
        <v>767</v>
      </c>
      <c r="F17" t="s">
        <v>768</v>
      </c>
      <c r="G17">
        <v>290</v>
      </c>
      <c r="H17" t="s">
        <v>85</v>
      </c>
      <c r="I17">
        <v>4</v>
      </c>
      <c r="J17" t="str">
        <f>HYPERLINK("Gene524-zp_tree_all.dnd", "Gene524-tree")</f>
        <v>Gene524-tree</v>
      </c>
      <c r="K17">
        <v>0</v>
      </c>
      <c r="L17">
        <v>4</v>
      </c>
      <c r="M17">
        <v>0</v>
      </c>
      <c r="N17">
        <v>4</v>
      </c>
      <c r="O17">
        <v>1</v>
      </c>
      <c r="P17" t="s">
        <v>66</v>
      </c>
      <c r="Q17" t="s">
        <v>64</v>
      </c>
      <c r="R17" t="s">
        <v>66</v>
      </c>
      <c r="S17" t="s">
        <v>66</v>
      </c>
      <c r="T17">
        <v>1</v>
      </c>
      <c r="U17">
        <v>2</v>
      </c>
      <c r="V17">
        <v>24</v>
      </c>
      <c r="W17">
        <v>7.6920000000000002E-2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2</v>
      </c>
      <c r="AF17">
        <v>24</v>
      </c>
      <c r="AG17">
        <v>7.6920000000000002E-2</v>
      </c>
      <c r="AH17">
        <v>4</v>
      </c>
      <c r="AI17">
        <v>1</v>
      </c>
      <c r="AJ17">
        <v>36</v>
      </c>
      <c r="AK17">
        <v>25</v>
      </c>
      <c r="AL17">
        <v>2</v>
      </c>
      <c r="AM17">
        <v>1</v>
      </c>
      <c r="AN17" t="s">
        <v>769</v>
      </c>
      <c r="AO17" t="s">
        <v>770</v>
      </c>
      <c r="AP17">
        <v>0.48899999999999999</v>
      </c>
      <c r="AQ17" t="s">
        <v>69</v>
      </c>
      <c r="AR17">
        <v>38</v>
      </c>
      <c r="AS17">
        <v>26</v>
      </c>
      <c r="AT17">
        <v>3.6400000000000002E-2</v>
      </c>
      <c r="AU17">
        <v>-5.9899999999999997E-3</v>
      </c>
      <c r="AV17">
        <v>0.10437</v>
      </c>
      <c r="AW17">
        <v>-1.7950000000000001E-2</v>
      </c>
      <c r="AX17">
        <v>1.9720000000000001E-2</v>
      </c>
      <c r="AY17">
        <v>-3.3700000000000002E-3</v>
      </c>
      <c r="AZ17">
        <v>0.18897</v>
      </c>
      <c r="BA17">
        <v>1</v>
      </c>
      <c r="BB17" t="s">
        <v>70</v>
      </c>
      <c r="BC17">
        <v>-0.503</v>
      </c>
      <c r="BD17">
        <v>-0.66</v>
      </c>
      <c r="BE17" t="s">
        <v>139</v>
      </c>
    </row>
    <row r="18" spans="1:57">
      <c r="A18">
        <v>533</v>
      </c>
      <c r="B18" t="s">
        <v>771</v>
      </c>
      <c r="D18" t="s">
        <v>66</v>
      </c>
      <c r="E18" t="s">
        <v>772</v>
      </c>
      <c r="F18" t="s">
        <v>773</v>
      </c>
      <c r="G18">
        <v>190</v>
      </c>
      <c r="H18" t="s">
        <v>85</v>
      </c>
      <c r="I18">
        <v>4</v>
      </c>
      <c r="J18" t="str">
        <f>HYPERLINK("Gene533-zp_tree_all.dnd", "Gene533-tree")</f>
        <v>Gene533-tree</v>
      </c>
      <c r="K18">
        <v>0</v>
      </c>
      <c r="L18">
        <v>4</v>
      </c>
      <c r="M18">
        <v>0</v>
      </c>
      <c r="N18">
        <v>4</v>
      </c>
      <c r="O18">
        <v>1</v>
      </c>
      <c r="P18" t="s">
        <v>66</v>
      </c>
      <c r="Q18" t="s">
        <v>64</v>
      </c>
      <c r="R18" t="s">
        <v>66</v>
      </c>
      <c r="S18" t="s">
        <v>66</v>
      </c>
      <c r="T18">
        <v>1</v>
      </c>
      <c r="U18">
        <v>2</v>
      </c>
      <c r="V18">
        <v>14</v>
      </c>
      <c r="W18">
        <v>0.125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2</v>
      </c>
      <c r="AF18">
        <v>14</v>
      </c>
      <c r="AG18">
        <v>0.125</v>
      </c>
      <c r="AH18">
        <v>4</v>
      </c>
      <c r="AI18">
        <v>1</v>
      </c>
      <c r="AJ18">
        <v>16</v>
      </c>
      <c r="AK18">
        <v>14</v>
      </c>
      <c r="AL18">
        <v>4</v>
      </c>
      <c r="AM18">
        <v>3</v>
      </c>
      <c r="AN18" t="s">
        <v>774</v>
      </c>
      <c r="AO18" t="s">
        <v>775</v>
      </c>
      <c r="AP18">
        <v>0.34100000000000003</v>
      </c>
      <c r="AQ18" t="s">
        <v>69</v>
      </c>
      <c r="AR18">
        <v>20</v>
      </c>
      <c r="AS18">
        <v>17</v>
      </c>
      <c r="AT18">
        <v>3.3329999999999999E-2</v>
      </c>
      <c r="AU18">
        <v>-4.1099999999999999E-3</v>
      </c>
      <c r="AV18">
        <v>8.2799999999999999E-2</v>
      </c>
      <c r="AW18">
        <v>-1.319E-2</v>
      </c>
      <c r="AX18">
        <v>2.069E-2</v>
      </c>
      <c r="AY18">
        <v>-2.2499999999999998E-3</v>
      </c>
      <c r="AZ18">
        <v>0.24989</v>
      </c>
      <c r="BA18">
        <v>1</v>
      </c>
      <c r="BB18" t="s">
        <v>70</v>
      </c>
      <c r="BC18">
        <v>-4.9000000000000002E-2</v>
      </c>
      <c r="BD18">
        <v>-4.9000000000000002E-2</v>
      </c>
      <c r="BE18" t="s">
        <v>139</v>
      </c>
    </row>
    <row r="19" spans="1:57">
      <c r="A19">
        <v>577</v>
      </c>
      <c r="B19" t="s">
        <v>780</v>
      </c>
      <c r="D19" t="s">
        <v>66</v>
      </c>
      <c r="E19" t="s">
        <v>781</v>
      </c>
      <c r="F19" t="s">
        <v>782</v>
      </c>
      <c r="G19">
        <v>209</v>
      </c>
      <c r="H19" t="s">
        <v>85</v>
      </c>
      <c r="I19">
        <v>4</v>
      </c>
      <c r="J19" t="str">
        <f>HYPERLINK("Gene577-zp_tree_all.dnd", "Gene577-tree")</f>
        <v>Gene577-tree</v>
      </c>
      <c r="K19">
        <v>3</v>
      </c>
      <c r="L19">
        <v>1</v>
      </c>
      <c r="M19">
        <v>3</v>
      </c>
      <c r="N19">
        <v>1</v>
      </c>
      <c r="O19">
        <v>0.25</v>
      </c>
      <c r="P19" t="s">
        <v>86</v>
      </c>
      <c r="Q19" t="s">
        <v>65</v>
      </c>
      <c r="R19" t="s">
        <v>66</v>
      </c>
      <c r="S19" t="s">
        <v>66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4</v>
      </c>
      <c r="AI19">
        <v>1</v>
      </c>
      <c r="AJ19">
        <v>29</v>
      </c>
      <c r="AK19">
        <v>1</v>
      </c>
      <c r="AL19">
        <v>1</v>
      </c>
      <c r="AM19">
        <v>1</v>
      </c>
      <c r="AN19" t="s">
        <v>783</v>
      </c>
      <c r="AO19" t="s">
        <v>784</v>
      </c>
      <c r="AP19">
        <v>14.411</v>
      </c>
      <c r="AQ19" t="s">
        <v>69</v>
      </c>
      <c r="AR19">
        <v>30</v>
      </c>
      <c r="AS19">
        <v>2</v>
      </c>
      <c r="AT19">
        <v>2.4719999999999999E-2</v>
      </c>
      <c r="AU19">
        <v>-5.3699999999999998E-3</v>
      </c>
      <c r="AV19">
        <v>0.10826</v>
      </c>
      <c r="AW19">
        <v>-2.7289999999999998E-2</v>
      </c>
      <c r="AX19">
        <v>2.4299999999999999E-3</v>
      </c>
      <c r="AY19">
        <v>-4.2000000000000002E-4</v>
      </c>
      <c r="AZ19">
        <v>2.2450000000000001E-2</v>
      </c>
      <c r="BA19">
        <v>1</v>
      </c>
      <c r="BB19" t="s">
        <v>70</v>
      </c>
      <c r="BC19">
        <v>-0.20799999999999999</v>
      </c>
      <c r="BD19">
        <v>-0.53400000000000003</v>
      </c>
      <c r="BE19" t="s">
        <v>139</v>
      </c>
    </row>
    <row r="20" spans="1:57">
      <c r="A20">
        <v>591</v>
      </c>
      <c r="B20" t="s">
        <v>790</v>
      </c>
      <c r="D20" t="s">
        <v>66</v>
      </c>
      <c r="E20" t="s">
        <v>791</v>
      </c>
      <c r="F20" t="s">
        <v>792</v>
      </c>
      <c r="G20">
        <v>388</v>
      </c>
      <c r="H20" t="s">
        <v>63</v>
      </c>
      <c r="I20">
        <v>5</v>
      </c>
      <c r="J20" t="str">
        <f>HYPERLINK("Gene591-zp_tree_all.dnd", "Gene591-tree")</f>
        <v>Gene591-tree</v>
      </c>
      <c r="K20">
        <v>2</v>
      </c>
      <c r="L20">
        <v>3</v>
      </c>
      <c r="M20">
        <v>2</v>
      </c>
      <c r="N20">
        <v>3</v>
      </c>
      <c r="O20">
        <v>0.6</v>
      </c>
      <c r="P20" t="s">
        <v>124</v>
      </c>
      <c r="Q20" t="s">
        <v>86</v>
      </c>
      <c r="R20" t="s">
        <v>66</v>
      </c>
      <c r="S20" t="s">
        <v>66</v>
      </c>
      <c r="T20">
        <v>0</v>
      </c>
      <c r="U20">
        <v>0</v>
      </c>
      <c r="V20">
        <v>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7</v>
      </c>
      <c r="AG20">
        <v>0</v>
      </c>
      <c r="AH20">
        <v>3</v>
      </c>
      <c r="AI20">
        <v>2</v>
      </c>
      <c r="AJ20">
        <v>37</v>
      </c>
      <c r="AK20">
        <v>5</v>
      </c>
      <c r="AL20">
        <v>28</v>
      </c>
      <c r="AM20">
        <v>2</v>
      </c>
      <c r="AN20" t="s">
        <v>793</v>
      </c>
      <c r="AO20" t="s">
        <v>794</v>
      </c>
      <c r="AP20">
        <v>0.66400000000000003</v>
      </c>
      <c r="AQ20" t="s">
        <v>69</v>
      </c>
      <c r="AR20">
        <v>65</v>
      </c>
      <c r="AS20">
        <v>7</v>
      </c>
      <c r="AT20">
        <v>2.93E-2</v>
      </c>
      <c r="AU20">
        <v>-5.0600000000000003E-3</v>
      </c>
      <c r="AV20">
        <v>0.11613</v>
      </c>
      <c r="AW20">
        <v>-2.112E-2</v>
      </c>
      <c r="AX20">
        <v>3.6900000000000001E-3</v>
      </c>
      <c r="AY20">
        <v>-6.8999999999999997E-4</v>
      </c>
      <c r="AZ20">
        <v>3.1789999999999999E-2</v>
      </c>
      <c r="BA20">
        <v>1</v>
      </c>
      <c r="BB20" t="s">
        <v>70</v>
      </c>
      <c r="BC20">
        <v>0.224</v>
      </c>
      <c r="BD20">
        <v>0.11</v>
      </c>
      <c r="BE20" t="s">
        <v>139</v>
      </c>
    </row>
    <row r="21" spans="1:57">
      <c r="A21">
        <v>780</v>
      </c>
      <c r="B21" t="s">
        <v>961</v>
      </c>
      <c r="D21" t="s">
        <v>66</v>
      </c>
      <c r="E21" t="s">
        <v>962</v>
      </c>
      <c r="F21" t="s">
        <v>963</v>
      </c>
      <c r="G21">
        <v>249</v>
      </c>
      <c r="H21" t="s">
        <v>63</v>
      </c>
      <c r="I21">
        <v>5</v>
      </c>
      <c r="J21" t="str">
        <f>HYPERLINK("Gene780-zp_tree_all.dnd", "Gene780-tree")</f>
        <v>Gene780-tree</v>
      </c>
      <c r="K21">
        <v>5</v>
      </c>
      <c r="L21">
        <v>0</v>
      </c>
      <c r="M21">
        <v>5</v>
      </c>
      <c r="N21">
        <v>0</v>
      </c>
      <c r="O21">
        <v>0</v>
      </c>
      <c r="P21" t="s">
        <v>96</v>
      </c>
      <c r="Q21" t="s">
        <v>66</v>
      </c>
      <c r="R21" t="s">
        <v>66</v>
      </c>
      <c r="S21" t="s">
        <v>66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2</v>
      </c>
      <c r="AJ21">
        <v>30</v>
      </c>
      <c r="AK21">
        <v>0</v>
      </c>
      <c r="AL21">
        <v>24</v>
      </c>
      <c r="AM21">
        <v>1</v>
      </c>
      <c r="AN21" t="s">
        <v>68</v>
      </c>
      <c r="AO21" t="s">
        <v>964</v>
      </c>
      <c r="AP21">
        <v>0.76300000000000001</v>
      </c>
      <c r="AQ21" t="s">
        <v>69</v>
      </c>
      <c r="AR21">
        <v>54</v>
      </c>
      <c r="AS21">
        <v>1</v>
      </c>
      <c r="AT21">
        <v>3.4669999999999999E-2</v>
      </c>
      <c r="AU21">
        <v>-5.4599999999999996E-3</v>
      </c>
      <c r="AV21">
        <v>0.1709</v>
      </c>
      <c r="AW21">
        <v>-2.8879999999999999E-2</v>
      </c>
      <c r="AX21">
        <v>1.0399999999999999E-3</v>
      </c>
      <c r="AY21">
        <v>-2.5000000000000001E-4</v>
      </c>
      <c r="AZ21">
        <v>6.1000000000000004E-3</v>
      </c>
      <c r="BA21">
        <v>1</v>
      </c>
      <c r="BB21" t="s">
        <v>70</v>
      </c>
      <c r="BC21">
        <v>0.438</v>
      </c>
      <c r="BD21">
        <v>0.28399999999999997</v>
      </c>
      <c r="BE21" t="s">
        <v>139</v>
      </c>
    </row>
    <row r="22" spans="1:57">
      <c r="A22">
        <v>782</v>
      </c>
      <c r="B22" t="s">
        <v>965</v>
      </c>
      <c r="D22" t="s">
        <v>66</v>
      </c>
      <c r="E22" t="s">
        <v>966</v>
      </c>
      <c r="F22" t="s">
        <v>967</v>
      </c>
      <c r="G22">
        <v>649</v>
      </c>
      <c r="H22" t="s">
        <v>63</v>
      </c>
      <c r="I22">
        <v>5</v>
      </c>
      <c r="J22" t="str">
        <f>HYPERLINK("Gene782-zp_tree_all.dnd", "Gene782-tree")</f>
        <v>Gene782-tree</v>
      </c>
      <c r="K22">
        <v>2</v>
      </c>
      <c r="L22">
        <v>3</v>
      </c>
      <c r="M22">
        <v>2</v>
      </c>
      <c r="N22">
        <v>3</v>
      </c>
      <c r="O22">
        <v>0.6</v>
      </c>
      <c r="P22" t="s">
        <v>124</v>
      </c>
      <c r="Q22" t="s">
        <v>86</v>
      </c>
      <c r="R22" t="s">
        <v>66</v>
      </c>
      <c r="S22" t="s">
        <v>66</v>
      </c>
      <c r="T22">
        <v>0</v>
      </c>
      <c r="U22">
        <v>0</v>
      </c>
      <c r="V22">
        <v>18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18</v>
      </c>
      <c r="AG22">
        <v>0</v>
      </c>
      <c r="AH22">
        <v>5</v>
      </c>
      <c r="AI22">
        <v>2</v>
      </c>
      <c r="AJ22">
        <v>54</v>
      </c>
      <c r="AK22">
        <v>8</v>
      </c>
      <c r="AL22">
        <v>48</v>
      </c>
      <c r="AM22">
        <v>12</v>
      </c>
      <c r="AN22" t="s">
        <v>968</v>
      </c>
      <c r="AO22" t="s">
        <v>969</v>
      </c>
      <c r="AP22">
        <v>0.31900000000000001</v>
      </c>
      <c r="AQ22" t="s">
        <v>69</v>
      </c>
      <c r="AR22">
        <v>102</v>
      </c>
      <c r="AS22">
        <v>20</v>
      </c>
      <c r="AT22">
        <v>3.005E-2</v>
      </c>
      <c r="AU22">
        <v>-4.9800000000000001E-3</v>
      </c>
      <c r="AV22">
        <v>0.12203</v>
      </c>
      <c r="AW22">
        <v>-2.0160000000000001E-2</v>
      </c>
      <c r="AX22">
        <v>7.1799999999999998E-3</v>
      </c>
      <c r="AY22">
        <v>-1.4599999999999999E-3</v>
      </c>
      <c r="AZ22">
        <v>5.8840000000000003E-2</v>
      </c>
      <c r="BA22">
        <v>1</v>
      </c>
      <c r="BB22" t="s">
        <v>70</v>
      </c>
      <c r="BC22">
        <v>0.52500000000000002</v>
      </c>
      <c r="BD22">
        <v>0.4</v>
      </c>
      <c r="BE22" t="s">
        <v>139</v>
      </c>
    </row>
    <row r="23" spans="1:57">
      <c r="A23">
        <v>827</v>
      </c>
      <c r="B23" t="s">
        <v>975</v>
      </c>
      <c r="D23" t="s">
        <v>66</v>
      </c>
      <c r="E23" t="s">
        <v>976</v>
      </c>
      <c r="F23" t="s">
        <v>74</v>
      </c>
      <c r="G23">
        <v>104</v>
      </c>
      <c r="H23" t="s">
        <v>106</v>
      </c>
      <c r="I23">
        <v>4</v>
      </c>
      <c r="J23" t="str">
        <f>HYPERLINK("Gene827-zp_tree_all.dnd", "Gene827-tree")</f>
        <v>Gene827-tree</v>
      </c>
      <c r="K23">
        <v>1</v>
      </c>
      <c r="L23">
        <v>3</v>
      </c>
      <c r="M23">
        <v>1</v>
      </c>
      <c r="N23">
        <v>3</v>
      </c>
      <c r="O23">
        <v>0.75</v>
      </c>
      <c r="P23" t="s">
        <v>65</v>
      </c>
      <c r="Q23" t="s">
        <v>86</v>
      </c>
      <c r="R23" t="s">
        <v>66</v>
      </c>
      <c r="S23" t="s">
        <v>66</v>
      </c>
      <c r="T23">
        <v>0</v>
      </c>
      <c r="U23">
        <v>0</v>
      </c>
      <c r="V23">
        <v>5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4</v>
      </c>
      <c r="AG23">
        <v>0</v>
      </c>
      <c r="AH23">
        <v>3</v>
      </c>
      <c r="AI23">
        <v>1</v>
      </c>
      <c r="AJ23">
        <v>10</v>
      </c>
      <c r="AK23">
        <v>4</v>
      </c>
      <c r="AL23">
        <v>0</v>
      </c>
      <c r="AM23">
        <v>1</v>
      </c>
      <c r="AN23" t="s">
        <v>977</v>
      </c>
      <c r="AO23" t="s">
        <v>68</v>
      </c>
      <c r="AP23">
        <v>0.72899999999999998</v>
      </c>
      <c r="AQ23" t="s">
        <v>69</v>
      </c>
      <c r="AR23">
        <v>10</v>
      </c>
      <c r="AS23">
        <v>5</v>
      </c>
      <c r="AT23">
        <v>2.4809999999999999E-2</v>
      </c>
      <c r="AU23">
        <v>-7.5399999999999998E-3</v>
      </c>
      <c r="AV23">
        <v>8.233E-2</v>
      </c>
      <c r="AW23">
        <v>-2.9680000000000002E-2</v>
      </c>
      <c r="AX23">
        <v>1.112E-2</v>
      </c>
      <c r="AY23">
        <v>-2.5500000000000002E-3</v>
      </c>
      <c r="AZ23">
        <v>0.13506000000000001</v>
      </c>
      <c r="BA23">
        <v>1</v>
      </c>
      <c r="BB23" t="s">
        <v>70</v>
      </c>
      <c r="BC23">
        <v>-0.64</v>
      </c>
      <c r="BD23">
        <v>-0.64</v>
      </c>
      <c r="BE23" t="s">
        <v>139</v>
      </c>
    </row>
    <row r="24" spans="1:57">
      <c r="A24">
        <v>858</v>
      </c>
      <c r="B24" t="s">
        <v>983</v>
      </c>
      <c r="D24" t="s">
        <v>66</v>
      </c>
      <c r="E24" t="s">
        <v>984</v>
      </c>
      <c r="F24" t="s">
        <v>74</v>
      </c>
      <c r="G24">
        <v>63</v>
      </c>
      <c r="H24" t="s">
        <v>63</v>
      </c>
      <c r="I24">
        <v>5</v>
      </c>
      <c r="J24" t="str">
        <f>HYPERLINK("Gene858-zp_tree_all.dnd", "Gene858-tree")</f>
        <v>Gene858-tree</v>
      </c>
      <c r="K24">
        <v>3</v>
      </c>
      <c r="L24">
        <v>2</v>
      </c>
      <c r="M24">
        <v>3</v>
      </c>
      <c r="N24">
        <v>2</v>
      </c>
      <c r="O24">
        <v>0.4</v>
      </c>
      <c r="P24" t="s">
        <v>86</v>
      </c>
      <c r="Q24" t="s">
        <v>124</v>
      </c>
      <c r="R24" t="s">
        <v>66</v>
      </c>
      <c r="S24" t="s">
        <v>66</v>
      </c>
      <c r="T24">
        <v>0</v>
      </c>
      <c r="U24">
        <v>0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0</v>
      </c>
      <c r="AH24">
        <v>3</v>
      </c>
      <c r="AI24">
        <v>1</v>
      </c>
      <c r="AJ24">
        <v>2</v>
      </c>
      <c r="AK24">
        <v>1</v>
      </c>
      <c r="AL24">
        <v>5</v>
      </c>
      <c r="AM24">
        <v>1</v>
      </c>
      <c r="AN24" t="s">
        <v>985</v>
      </c>
      <c r="AO24" t="s">
        <v>986</v>
      </c>
      <c r="AP24">
        <v>0.437</v>
      </c>
      <c r="AQ24" t="s">
        <v>69</v>
      </c>
      <c r="AR24">
        <v>7</v>
      </c>
      <c r="AS24">
        <v>2</v>
      </c>
      <c r="AT24">
        <v>2.623E-2</v>
      </c>
      <c r="AU24">
        <v>-5.11E-3</v>
      </c>
      <c r="AV24">
        <v>0.11264</v>
      </c>
      <c r="AW24">
        <v>-1.967E-2</v>
      </c>
      <c r="AX24">
        <v>6.9199999999999999E-3</v>
      </c>
      <c r="AY24">
        <v>-1.6999999999999999E-3</v>
      </c>
      <c r="AZ24">
        <v>6.1420000000000002E-2</v>
      </c>
      <c r="BA24">
        <v>0.98899999999999999</v>
      </c>
      <c r="BB24" t="s">
        <v>70</v>
      </c>
      <c r="BC24">
        <v>0.79</v>
      </c>
      <c r="BD24">
        <v>0.79</v>
      </c>
      <c r="BE24" t="s">
        <v>139</v>
      </c>
    </row>
    <row r="25" spans="1:57">
      <c r="A25">
        <v>859</v>
      </c>
      <c r="B25" t="s">
        <v>987</v>
      </c>
      <c r="D25" t="s">
        <v>66</v>
      </c>
      <c r="E25" t="s">
        <v>988</v>
      </c>
      <c r="F25" t="s">
        <v>74</v>
      </c>
      <c r="G25">
        <v>36</v>
      </c>
      <c r="H25" t="s">
        <v>63</v>
      </c>
      <c r="I25">
        <v>5</v>
      </c>
      <c r="J25" t="str">
        <f>HYPERLINK("Gene859-zp_tree_all.dnd", "Gene859-tree")</f>
        <v>Gene859-tree</v>
      </c>
      <c r="K25">
        <v>5</v>
      </c>
      <c r="L25">
        <v>0</v>
      </c>
      <c r="M25">
        <v>5</v>
      </c>
      <c r="N25">
        <v>0</v>
      </c>
      <c r="O25">
        <v>0</v>
      </c>
      <c r="P25" t="s">
        <v>96</v>
      </c>
      <c r="Q25" t="s">
        <v>66</v>
      </c>
      <c r="R25" t="s">
        <v>66</v>
      </c>
      <c r="S25" t="s">
        <v>66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4</v>
      </c>
      <c r="AI25">
        <v>2</v>
      </c>
      <c r="AJ25">
        <v>4</v>
      </c>
      <c r="AK25">
        <v>0</v>
      </c>
      <c r="AL25">
        <v>3</v>
      </c>
      <c r="AM25">
        <v>0</v>
      </c>
      <c r="AN25" t="s">
        <v>68</v>
      </c>
      <c r="AO25" t="s">
        <v>68</v>
      </c>
      <c r="AP25">
        <v>0</v>
      </c>
      <c r="AQ25" t="s">
        <v>69</v>
      </c>
      <c r="AR25">
        <v>7</v>
      </c>
      <c r="AS25">
        <v>0</v>
      </c>
      <c r="AT25">
        <v>3.048E-2</v>
      </c>
      <c r="AU25">
        <v>-4.2199999999999998E-3</v>
      </c>
      <c r="AV25">
        <v>0.18959000000000001</v>
      </c>
      <c r="AW25">
        <v>-2.853E-2</v>
      </c>
      <c r="AX25">
        <v>0</v>
      </c>
      <c r="AY25">
        <v>0</v>
      </c>
      <c r="AZ25">
        <v>0</v>
      </c>
      <c r="BA25">
        <v>1</v>
      </c>
      <c r="BB25" t="s">
        <v>70</v>
      </c>
      <c r="BC25">
        <v>0.76400000000000001</v>
      </c>
      <c r="BD25">
        <v>0.76400000000000001</v>
      </c>
      <c r="BE25" t="s">
        <v>139</v>
      </c>
    </row>
    <row r="26" spans="1:57">
      <c r="A26">
        <v>864</v>
      </c>
      <c r="B26" t="s">
        <v>989</v>
      </c>
      <c r="D26" t="s">
        <v>66</v>
      </c>
      <c r="E26" t="s">
        <v>990</v>
      </c>
      <c r="F26" t="s">
        <v>991</v>
      </c>
      <c r="G26">
        <v>50</v>
      </c>
      <c r="H26" t="s">
        <v>63</v>
      </c>
      <c r="I26">
        <v>5</v>
      </c>
      <c r="J26" t="str">
        <f>HYPERLINK("Gene864-zp_tree_all.dnd", "Gene864-tree")</f>
        <v>Gene864-tree</v>
      </c>
      <c r="K26">
        <v>4</v>
      </c>
      <c r="L26">
        <v>1</v>
      </c>
      <c r="M26">
        <v>3</v>
      </c>
      <c r="N26">
        <v>1</v>
      </c>
      <c r="O26">
        <v>0.25</v>
      </c>
      <c r="P26" t="s">
        <v>112</v>
      </c>
      <c r="Q26" t="s">
        <v>65</v>
      </c>
      <c r="R26" t="s">
        <v>66</v>
      </c>
      <c r="S26" t="s">
        <v>66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2</v>
      </c>
      <c r="AI26">
        <v>1</v>
      </c>
      <c r="AJ26">
        <v>4</v>
      </c>
      <c r="AK26">
        <v>1</v>
      </c>
      <c r="AL26">
        <v>3</v>
      </c>
      <c r="AM26">
        <v>0</v>
      </c>
      <c r="AN26" t="s">
        <v>992</v>
      </c>
      <c r="AO26" t="s">
        <v>68</v>
      </c>
      <c r="AP26">
        <v>1.115</v>
      </c>
      <c r="AQ26" t="s">
        <v>69</v>
      </c>
      <c r="AR26">
        <v>7</v>
      </c>
      <c r="AS26">
        <v>1</v>
      </c>
      <c r="AT26">
        <v>2.8340000000000001E-2</v>
      </c>
      <c r="AU26">
        <v>-4.6499999999999996E-3</v>
      </c>
      <c r="AV26">
        <v>0.13783000000000001</v>
      </c>
      <c r="AW26">
        <v>-2.63E-2</v>
      </c>
      <c r="AX26">
        <v>4.2900000000000004E-3</v>
      </c>
      <c r="AY26">
        <v>-1.75E-3</v>
      </c>
      <c r="AZ26">
        <v>3.1099999999999999E-2</v>
      </c>
      <c r="BA26">
        <v>1</v>
      </c>
      <c r="BB26" t="s">
        <v>70</v>
      </c>
      <c r="BC26">
        <v>0.28999999999999998</v>
      </c>
      <c r="BD26">
        <v>-0.747</v>
      </c>
      <c r="BE26" t="s">
        <v>139</v>
      </c>
    </row>
    <row r="27" spans="1:57">
      <c r="A27">
        <v>871</v>
      </c>
      <c r="B27" t="s">
        <v>993</v>
      </c>
      <c r="D27" t="s">
        <v>66</v>
      </c>
      <c r="E27" t="s">
        <v>994</v>
      </c>
      <c r="F27" t="s">
        <v>74</v>
      </c>
      <c r="G27">
        <v>327</v>
      </c>
      <c r="H27" t="s">
        <v>63</v>
      </c>
      <c r="I27">
        <v>5</v>
      </c>
      <c r="J27" t="str">
        <f>HYPERLINK("Gene871-zp_tree_all.dnd", "Gene871-tree")</f>
        <v>Gene871-tree</v>
      </c>
      <c r="K27">
        <v>5</v>
      </c>
      <c r="L27">
        <v>0</v>
      </c>
      <c r="M27">
        <v>5</v>
      </c>
      <c r="N27">
        <v>0</v>
      </c>
      <c r="O27">
        <v>0</v>
      </c>
      <c r="P27" t="s">
        <v>96</v>
      </c>
      <c r="Q27" t="s">
        <v>66</v>
      </c>
      <c r="R27" t="s">
        <v>66</v>
      </c>
      <c r="S27" t="s">
        <v>66</v>
      </c>
      <c r="T27">
        <v>0</v>
      </c>
      <c r="U27">
        <v>0</v>
      </c>
      <c r="V27">
        <v>3</v>
      </c>
      <c r="W27">
        <v>0</v>
      </c>
      <c r="X27">
        <v>0</v>
      </c>
      <c r="Y27">
        <v>0</v>
      </c>
      <c r="Z27">
        <v>0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</v>
      </c>
      <c r="AI27">
        <v>2</v>
      </c>
      <c r="AJ27">
        <v>22</v>
      </c>
      <c r="AK27">
        <v>0</v>
      </c>
      <c r="AL27">
        <v>34</v>
      </c>
      <c r="AM27">
        <v>3</v>
      </c>
      <c r="AN27" t="s">
        <v>68</v>
      </c>
      <c r="AO27" t="s">
        <v>995</v>
      </c>
      <c r="AP27">
        <v>1.5580000000000001</v>
      </c>
      <c r="AQ27" t="s">
        <v>69</v>
      </c>
      <c r="AR27">
        <v>56</v>
      </c>
      <c r="AS27">
        <v>3</v>
      </c>
      <c r="AT27">
        <v>2.9960000000000001E-2</v>
      </c>
      <c r="AU27">
        <v>-5.2599999999999999E-3</v>
      </c>
      <c r="AV27">
        <v>0.13216</v>
      </c>
      <c r="AW27">
        <v>-2.4049999999999998E-2</v>
      </c>
      <c r="AX27">
        <v>2.4199999999999998E-3</v>
      </c>
      <c r="AY27">
        <v>-4.2999999999999999E-4</v>
      </c>
      <c r="AZ27">
        <v>1.8329999999999999E-2</v>
      </c>
      <c r="BA27">
        <v>1</v>
      </c>
      <c r="BB27" t="s">
        <v>70</v>
      </c>
      <c r="BC27">
        <v>0.98499999999999999</v>
      </c>
      <c r="BD27">
        <v>0.54800000000000004</v>
      </c>
      <c r="BE27" t="s">
        <v>139</v>
      </c>
    </row>
    <row r="28" spans="1:57">
      <c r="A28">
        <v>873</v>
      </c>
      <c r="B28" t="s">
        <v>996</v>
      </c>
      <c r="D28" t="s">
        <v>66</v>
      </c>
      <c r="E28" t="s">
        <v>997</v>
      </c>
      <c r="F28" t="s">
        <v>74</v>
      </c>
      <c r="G28">
        <v>74</v>
      </c>
      <c r="H28" t="s">
        <v>63</v>
      </c>
      <c r="I28">
        <v>5</v>
      </c>
      <c r="J28" t="str">
        <f>HYPERLINK("Gene873-zp_tree_all.dnd", "Gene873-tree")</f>
        <v>Gene873-tree</v>
      </c>
      <c r="K28">
        <v>2</v>
      </c>
      <c r="L28">
        <v>3</v>
      </c>
      <c r="M28">
        <v>2</v>
      </c>
      <c r="N28">
        <v>2</v>
      </c>
      <c r="O28">
        <v>0.5</v>
      </c>
      <c r="P28" t="s">
        <v>124</v>
      </c>
      <c r="Q28" t="s">
        <v>185</v>
      </c>
      <c r="R28">
        <v>0.30599999999999999</v>
      </c>
      <c r="S28" t="s">
        <v>69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3</v>
      </c>
      <c r="AI28">
        <v>1</v>
      </c>
      <c r="AJ28">
        <v>3</v>
      </c>
      <c r="AK28">
        <v>1</v>
      </c>
      <c r="AL28">
        <v>4</v>
      </c>
      <c r="AM28">
        <v>1</v>
      </c>
      <c r="AN28" t="s">
        <v>998</v>
      </c>
      <c r="AO28" t="s">
        <v>999</v>
      </c>
      <c r="AP28">
        <v>0.18</v>
      </c>
      <c r="AQ28" t="s">
        <v>69</v>
      </c>
      <c r="AR28">
        <v>7</v>
      </c>
      <c r="AS28">
        <v>2</v>
      </c>
      <c r="AT28">
        <v>2.402E-2</v>
      </c>
      <c r="AU28">
        <v>-4.5900000000000003E-3</v>
      </c>
      <c r="AV28">
        <v>0.10188999999999999</v>
      </c>
      <c r="AW28">
        <v>-1.3050000000000001E-2</v>
      </c>
      <c r="AX28">
        <v>6.6100000000000004E-3</v>
      </c>
      <c r="AY28">
        <v>-1.5900000000000001E-3</v>
      </c>
      <c r="AZ28">
        <v>6.4890000000000003E-2</v>
      </c>
      <c r="BA28">
        <v>0.98899999999999999</v>
      </c>
      <c r="BB28" t="s">
        <v>70</v>
      </c>
      <c r="BC28">
        <v>0.46100000000000002</v>
      </c>
      <c r="BD28">
        <v>0.46100000000000002</v>
      </c>
      <c r="BE28" t="s">
        <v>139</v>
      </c>
    </row>
    <row r="29" spans="1:57">
      <c r="A29">
        <v>879</v>
      </c>
      <c r="B29" t="s">
        <v>1005</v>
      </c>
      <c r="D29" t="s">
        <v>66</v>
      </c>
      <c r="E29" t="s">
        <v>1006</v>
      </c>
      <c r="F29" t="s">
        <v>74</v>
      </c>
      <c r="G29">
        <v>353</v>
      </c>
      <c r="H29" t="s">
        <v>63</v>
      </c>
      <c r="I29">
        <v>5</v>
      </c>
      <c r="J29" t="str">
        <f>HYPERLINK("Gene879-zp_tree_all.dnd", "Gene879-tree")</f>
        <v>Gene879-tree</v>
      </c>
      <c r="K29">
        <v>4</v>
      </c>
      <c r="L29">
        <v>1</v>
      </c>
      <c r="M29">
        <v>4</v>
      </c>
      <c r="N29">
        <v>1</v>
      </c>
      <c r="O29">
        <v>0.2</v>
      </c>
      <c r="P29" t="s">
        <v>64</v>
      </c>
      <c r="Q29" t="s">
        <v>65</v>
      </c>
      <c r="R29" t="s">
        <v>66</v>
      </c>
      <c r="S29" t="s">
        <v>66</v>
      </c>
      <c r="T29">
        <v>0</v>
      </c>
      <c r="U29">
        <v>0</v>
      </c>
      <c r="V29">
        <v>4</v>
      </c>
      <c r="W29">
        <v>0</v>
      </c>
      <c r="X29">
        <v>0</v>
      </c>
      <c r="Y29">
        <v>0</v>
      </c>
      <c r="Z29">
        <v>0</v>
      </c>
      <c r="AA29">
        <v>3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4</v>
      </c>
      <c r="AI29">
        <v>2</v>
      </c>
      <c r="AJ29">
        <v>14</v>
      </c>
      <c r="AK29">
        <v>1</v>
      </c>
      <c r="AL29">
        <v>15</v>
      </c>
      <c r="AM29">
        <v>3</v>
      </c>
      <c r="AN29" t="s">
        <v>1007</v>
      </c>
      <c r="AO29" t="s">
        <v>1008</v>
      </c>
      <c r="AP29">
        <v>0.51200000000000001</v>
      </c>
      <c r="AQ29" t="s">
        <v>69</v>
      </c>
      <c r="AR29">
        <v>29</v>
      </c>
      <c r="AS29">
        <v>4</v>
      </c>
      <c r="AT29">
        <v>1.549E-2</v>
      </c>
      <c r="AU29">
        <v>-2.6199999999999999E-3</v>
      </c>
      <c r="AV29">
        <v>6.2530000000000002E-2</v>
      </c>
      <c r="AW29">
        <v>-1.0240000000000001E-2</v>
      </c>
      <c r="AX29">
        <v>2.6900000000000001E-3</v>
      </c>
      <c r="AY29">
        <v>-6.4000000000000005E-4</v>
      </c>
      <c r="AZ29">
        <v>4.3040000000000002E-2</v>
      </c>
      <c r="BA29">
        <v>1</v>
      </c>
      <c r="BB29" t="s">
        <v>70</v>
      </c>
      <c r="BC29">
        <v>0.50700000000000001</v>
      </c>
      <c r="BD29">
        <v>0.50700000000000001</v>
      </c>
      <c r="BE29" t="s">
        <v>139</v>
      </c>
    </row>
    <row r="30" spans="1:57">
      <c r="A30">
        <v>882</v>
      </c>
      <c r="B30" t="s">
        <v>1009</v>
      </c>
      <c r="D30" t="s">
        <v>60</v>
      </c>
      <c r="E30" t="s">
        <v>1010</v>
      </c>
      <c r="F30" t="s">
        <v>1011</v>
      </c>
      <c r="G30">
        <v>145</v>
      </c>
      <c r="H30" t="s">
        <v>63</v>
      </c>
      <c r="I30">
        <v>5</v>
      </c>
      <c r="J30" t="str">
        <f>HYPERLINK("Gene882-zp_tree_all.dnd", "Gene882-tree")</f>
        <v>Gene882-tree</v>
      </c>
      <c r="K30">
        <v>5</v>
      </c>
      <c r="L30">
        <v>0</v>
      </c>
      <c r="M30">
        <v>5</v>
      </c>
      <c r="N30">
        <v>0</v>
      </c>
      <c r="O30">
        <v>0</v>
      </c>
      <c r="P30" t="s">
        <v>96</v>
      </c>
      <c r="Q30" t="s">
        <v>66</v>
      </c>
      <c r="R30" t="s">
        <v>66</v>
      </c>
      <c r="S30" t="s">
        <v>66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</v>
      </c>
      <c r="AI30">
        <v>2</v>
      </c>
      <c r="AJ30">
        <v>7</v>
      </c>
      <c r="AK30">
        <v>0</v>
      </c>
      <c r="AL30">
        <v>10</v>
      </c>
      <c r="AM30">
        <v>0</v>
      </c>
      <c r="AN30" t="s">
        <v>68</v>
      </c>
      <c r="AO30" t="s">
        <v>68</v>
      </c>
      <c r="AP30">
        <v>0</v>
      </c>
      <c r="AQ30" t="s">
        <v>69</v>
      </c>
      <c r="AR30">
        <v>17</v>
      </c>
      <c r="AS30">
        <v>0</v>
      </c>
      <c r="AT30">
        <v>1.9769999999999999E-2</v>
      </c>
      <c r="AU30">
        <v>-2.8900000000000002E-3</v>
      </c>
      <c r="AV30">
        <v>9.5089999999999994E-2</v>
      </c>
      <c r="AW30">
        <v>-1.4630000000000001E-2</v>
      </c>
      <c r="AX30">
        <v>0</v>
      </c>
      <c r="AY30">
        <v>0</v>
      </c>
      <c r="AZ30">
        <v>0</v>
      </c>
      <c r="BA30">
        <v>1</v>
      </c>
      <c r="BB30" t="s">
        <v>70</v>
      </c>
      <c r="BC30">
        <v>0.878</v>
      </c>
      <c r="BD30">
        <v>0.878</v>
      </c>
      <c r="BE30" t="s">
        <v>139</v>
      </c>
    </row>
    <row r="31" spans="1:57">
      <c r="A31">
        <v>883</v>
      </c>
      <c r="B31" t="s">
        <v>1012</v>
      </c>
      <c r="D31" t="s">
        <v>66</v>
      </c>
      <c r="E31" t="s">
        <v>1013</v>
      </c>
      <c r="F31" t="s">
        <v>74</v>
      </c>
      <c r="G31">
        <v>117</v>
      </c>
      <c r="H31" t="s">
        <v>85</v>
      </c>
      <c r="I31">
        <v>4</v>
      </c>
      <c r="J31" t="str">
        <f>HYPERLINK("Gene883-zp_tree_all.dnd", "Gene883-tree")</f>
        <v>Gene883-tree</v>
      </c>
      <c r="K31">
        <v>3</v>
      </c>
      <c r="L31">
        <v>1</v>
      </c>
      <c r="M31">
        <v>3</v>
      </c>
      <c r="N31">
        <v>1</v>
      </c>
      <c r="O31">
        <v>0.25</v>
      </c>
      <c r="P31" t="s">
        <v>86</v>
      </c>
      <c r="Q31" t="s">
        <v>65</v>
      </c>
      <c r="R31" t="s">
        <v>66</v>
      </c>
      <c r="S31" t="s">
        <v>66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0</v>
      </c>
      <c r="AH31">
        <v>4</v>
      </c>
      <c r="AI31">
        <v>1</v>
      </c>
      <c r="AJ31">
        <v>21</v>
      </c>
      <c r="AK31">
        <v>3</v>
      </c>
      <c r="AL31">
        <v>3</v>
      </c>
      <c r="AM31">
        <v>0</v>
      </c>
      <c r="AN31" t="s">
        <v>1014</v>
      </c>
      <c r="AO31" t="s">
        <v>68</v>
      </c>
      <c r="AP31">
        <v>0.56200000000000006</v>
      </c>
      <c r="AQ31" t="s">
        <v>69</v>
      </c>
      <c r="AR31">
        <v>24</v>
      </c>
      <c r="AS31">
        <v>3</v>
      </c>
      <c r="AT31">
        <v>3.7039999999999997E-2</v>
      </c>
      <c r="AU31">
        <v>-3.9699999999999996E-3</v>
      </c>
      <c r="AV31">
        <v>0.17398</v>
      </c>
      <c r="AW31">
        <v>-2.231E-2</v>
      </c>
      <c r="AX31">
        <v>5.47E-3</v>
      </c>
      <c r="AY31">
        <v>-1.58E-3</v>
      </c>
      <c r="AZ31">
        <v>3.1449999999999999E-2</v>
      </c>
      <c r="BA31">
        <v>1</v>
      </c>
      <c r="BB31" t="s">
        <v>70</v>
      </c>
      <c r="BC31">
        <v>-7.0999999999999994E-2</v>
      </c>
      <c r="BD31">
        <v>-7.0999999999999994E-2</v>
      </c>
      <c r="BE31" t="s">
        <v>139</v>
      </c>
    </row>
    <row r="32" spans="1:57">
      <c r="A32">
        <v>892</v>
      </c>
      <c r="B32" t="s">
        <v>1017</v>
      </c>
      <c r="D32" t="s">
        <v>66</v>
      </c>
      <c r="E32" t="s">
        <v>1018</v>
      </c>
      <c r="F32" t="s">
        <v>1019</v>
      </c>
      <c r="G32">
        <v>483</v>
      </c>
      <c r="H32" t="s">
        <v>63</v>
      </c>
      <c r="I32">
        <v>5</v>
      </c>
      <c r="J32" t="str">
        <f>HYPERLINK("Gene892-zp_tree_all.dnd", "Gene892-tree")</f>
        <v>Gene892-tree</v>
      </c>
      <c r="K32">
        <v>3</v>
      </c>
      <c r="L32">
        <v>2</v>
      </c>
      <c r="M32">
        <v>3</v>
      </c>
      <c r="N32">
        <v>2</v>
      </c>
      <c r="O32">
        <v>0.4</v>
      </c>
      <c r="P32" t="s">
        <v>86</v>
      </c>
      <c r="Q32" t="s">
        <v>124</v>
      </c>
      <c r="R32" t="s">
        <v>66</v>
      </c>
      <c r="S32" t="s">
        <v>66</v>
      </c>
      <c r="T32">
        <v>0</v>
      </c>
      <c r="U32">
        <v>0</v>
      </c>
      <c r="V32">
        <v>6</v>
      </c>
      <c r="W32">
        <v>0</v>
      </c>
      <c r="X32">
        <v>0</v>
      </c>
      <c r="Y32">
        <v>0</v>
      </c>
      <c r="Z32">
        <v>0</v>
      </c>
      <c r="AA32">
        <v>4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0</v>
      </c>
      <c r="AH32">
        <v>5</v>
      </c>
      <c r="AI32">
        <v>2</v>
      </c>
      <c r="AJ32">
        <v>48</v>
      </c>
      <c r="AK32">
        <v>2</v>
      </c>
      <c r="AL32">
        <v>46</v>
      </c>
      <c r="AM32">
        <v>4</v>
      </c>
      <c r="AN32" t="s">
        <v>1020</v>
      </c>
      <c r="AO32" t="s">
        <v>1021</v>
      </c>
      <c r="AP32">
        <v>0.375</v>
      </c>
      <c r="AQ32" t="s">
        <v>69</v>
      </c>
      <c r="AR32">
        <v>94</v>
      </c>
      <c r="AS32">
        <v>6</v>
      </c>
      <c r="AT32">
        <v>3.347E-2</v>
      </c>
      <c r="AU32">
        <v>-5.2100000000000002E-3</v>
      </c>
      <c r="AV32">
        <v>0.15486</v>
      </c>
      <c r="AW32">
        <v>-2.5020000000000001E-2</v>
      </c>
      <c r="AX32">
        <v>2.8800000000000002E-3</v>
      </c>
      <c r="AY32">
        <v>-5.9000000000000003E-4</v>
      </c>
      <c r="AZ32">
        <v>1.8589999999999999E-2</v>
      </c>
      <c r="BA32">
        <v>1</v>
      </c>
      <c r="BB32" t="s">
        <v>70</v>
      </c>
      <c r="BC32">
        <v>0.64</v>
      </c>
      <c r="BD32">
        <v>0.57199999999999995</v>
      </c>
      <c r="BE32" t="s">
        <v>139</v>
      </c>
    </row>
    <row r="33" spans="1:57">
      <c r="A33">
        <v>900</v>
      </c>
      <c r="B33" t="s">
        <v>1025</v>
      </c>
      <c r="D33" t="s">
        <v>66</v>
      </c>
      <c r="E33" t="s">
        <v>1026</v>
      </c>
      <c r="F33" t="s">
        <v>242</v>
      </c>
      <c r="G33">
        <v>66</v>
      </c>
      <c r="H33" t="s">
        <v>63</v>
      </c>
      <c r="I33">
        <v>5</v>
      </c>
      <c r="J33" t="str">
        <f>HYPERLINK("Gene900-zp_tree_all.dnd", "Gene900-tree")</f>
        <v>Gene900-tree</v>
      </c>
      <c r="K33">
        <v>3</v>
      </c>
      <c r="L33">
        <v>2</v>
      </c>
      <c r="M33">
        <v>2</v>
      </c>
      <c r="N33">
        <v>2</v>
      </c>
      <c r="O33">
        <v>0.5</v>
      </c>
      <c r="P33" t="s">
        <v>185</v>
      </c>
      <c r="Q33" t="s">
        <v>124</v>
      </c>
      <c r="R33" t="s">
        <v>66</v>
      </c>
      <c r="S33" t="s">
        <v>66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4</v>
      </c>
      <c r="AI33">
        <v>1</v>
      </c>
      <c r="AJ33">
        <v>5</v>
      </c>
      <c r="AK33">
        <v>2</v>
      </c>
      <c r="AL33">
        <v>3</v>
      </c>
      <c r="AM33">
        <v>0</v>
      </c>
      <c r="AN33" t="s">
        <v>1027</v>
      </c>
      <c r="AO33" t="s">
        <v>68</v>
      </c>
      <c r="AP33">
        <v>1.776</v>
      </c>
      <c r="AQ33" t="s">
        <v>69</v>
      </c>
      <c r="AR33">
        <v>8</v>
      </c>
      <c r="AS33">
        <v>2</v>
      </c>
      <c r="AT33">
        <v>2.7779999999999999E-2</v>
      </c>
      <c r="AU33">
        <v>-3.5200000000000001E-3</v>
      </c>
      <c r="AV33">
        <v>0.11166</v>
      </c>
      <c r="AW33">
        <v>-1.6E-2</v>
      </c>
      <c r="AX33">
        <v>6.5199999999999998E-3</v>
      </c>
      <c r="AY33">
        <v>-1.09E-3</v>
      </c>
      <c r="AZ33">
        <v>5.8400000000000001E-2</v>
      </c>
      <c r="BA33">
        <v>1</v>
      </c>
      <c r="BB33" t="s">
        <v>70</v>
      </c>
      <c r="BC33">
        <v>0</v>
      </c>
      <c r="BD33">
        <v>0</v>
      </c>
      <c r="BE33" t="s">
        <v>139</v>
      </c>
    </row>
    <row r="34" spans="1:57">
      <c r="A34">
        <v>960</v>
      </c>
      <c r="B34" t="s">
        <v>1066</v>
      </c>
      <c r="D34" t="s">
        <v>66</v>
      </c>
      <c r="E34" t="s">
        <v>1067</v>
      </c>
      <c r="F34" t="s">
        <v>1068</v>
      </c>
      <c r="G34">
        <v>96</v>
      </c>
      <c r="H34" t="s">
        <v>63</v>
      </c>
      <c r="I34">
        <v>5</v>
      </c>
      <c r="J34" t="str">
        <f>HYPERLINK("Gene960-zp_tree_all.dnd", "Gene960-tree")</f>
        <v>Gene960-tree</v>
      </c>
      <c r="K34">
        <v>5</v>
      </c>
      <c r="L34">
        <v>0</v>
      </c>
      <c r="M34">
        <v>4</v>
      </c>
      <c r="N34">
        <v>0</v>
      </c>
      <c r="O34">
        <v>0</v>
      </c>
      <c r="P34" t="s">
        <v>135</v>
      </c>
      <c r="Q34" t="s">
        <v>66</v>
      </c>
      <c r="R34" t="s">
        <v>66</v>
      </c>
      <c r="S34" t="s">
        <v>66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4</v>
      </c>
      <c r="AI34">
        <v>1</v>
      </c>
      <c r="AJ34">
        <v>11</v>
      </c>
      <c r="AK34">
        <v>0</v>
      </c>
      <c r="AL34">
        <v>8</v>
      </c>
      <c r="AM34">
        <v>1</v>
      </c>
      <c r="AN34" t="s">
        <v>68</v>
      </c>
      <c r="AO34" t="s">
        <v>1069</v>
      </c>
      <c r="AP34">
        <v>0</v>
      </c>
      <c r="AQ34" t="s">
        <v>69</v>
      </c>
      <c r="AR34">
        <v>19</v>
      </c>
      <c r="AS34">
        <v>1</v>
      </c>
      <c r="AT34">
        <v>3.8769999999999999E-2</v>
      </c>
      <c r="AU34">
        <v>-5.7499999999999999E-3</v>
      </c>
      <c r="AV34">
        <v>0.15745999999999999</v>
      </c>
      <c r="AW34">
        <v>-2.3400000000000001E-2</v>
      </c>
      <c r="AX34">
        <v>4.6600000000000001E-3</v>
      </c>
      <c r="AY34">
        <v>-1.3500000000000001E-3</v>
      </c>
      <c r="AZ34">
        <v>2.962E-2</v>
      </c>
      <c r="BA34">
        <v>1</v>
      </c>
      <c r="BB34" t="s">
        <v>70</v>
      </c>
      <c r="BC34">
        <v>0.63100000000000001</v>
      </c>
      <c r="BD34">
        <v>0.22700000000000001</v>
      </c>
      <c r="BE34" t="s">
        <v>139</v>
      </c>
    </row>
    <row r="35" spans="1:57">
      <c r="A35">
        <v>962</v>
      </c>
      <c r="B35" t="s">
        <v>1070</v>
      </c>
      <c r="D35" t="s">
        <v>66</v>
      </c>
      <c r="E35" t="s">
        <v>1071</v>
      </c>
      <c r="F35" t="s">
        <v>1072</v>
      </c>
      <c r="G35">
        <v>163</v>
      </c>
      <c r="H35" t="s">
        <v>63</v>
      </c>
      <c r="I35">
        <v>5</v>
      </c>
      <c r="J35" t="str">
        <f>HYPERLINK("Gene962-zp_tree_all.dnd", "Gene962-tree")</f>
        <v>Gene962-tree</v>
      </c>
      <c r="K35">
        <v>5</v>
      </c>
      <c r="L35">
        <v>0</v>
      </c>
      <c r="M35">
        <v>4</v>
      </c>
      <c r="N35">
        <v>0</v>
      </c>
      <c r="O35">
        <v>0</v>
      </c>
      <c r="P35" t="s">
        <v>135</v>
      </c>
      <c r="Q35" t="s">
        <v>66</v>
      </c>
      <c r="R35" t="s">
        <v>66</v>
      </c>
      <c r="S35" t="s">
        <v>66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4</v>
      </c>
      <c r="AI35">
        <v>1</v>
      </c>
      <c r="AJ35">
        <v>6</v>
      </c>
      <c r="AK35">
        <v>0</v>
      </c>
      <c r="AL35">
        <v>7</v>
      </c>
      <c r="AM35">
        <v>0</v>
      </c>
      <c r="AN35" t="s">
        <v>68</v>
      </c>
      <c r="AO35" t="s">
        <v>68</v>
      </c>
      <c r="AP35">
        <v>0</v>
      </c>
      <c r="AQ35" t="s">
        <v>69</v>
      </c>
      <c r="AR35">
        <v>13</v>
      </c>
      <c r="AS35">
        <v>0</v>
      </c>
      <c r="AT35">
        <v>1.5679999999999999E-2</v>
      </c>
      <c r="AU35">
        <v>-2.8E-3</v>
      </c>
      <c r="AV35">
        <v>7.7109999999999998E-2</v>
      </c>
      <c r="AW35">
        <v>-1.4080000000000001E-2</v>
      </c>
      <c r="AX35">
        <v>0</v>
      </c>
      <c r="AY35">
        <v>0</v>
      </c>
      <c r="AZ35">
        <v>0</v>
      </c>
      <c r="BA35">
        <v>1</v>
      </c>
      <c r="BB35" t="s">
        <v>70</v>
      </c>
      <c r="BC35">
        <v>0.65200000000000002</v>
      </c>
      <c r="BD35">
        <v>0.65200000000000002</v>
      </c>
      <c r="BE35" t="s">
        <v>139</v>
      </c>
    </row>
    <row r="36" spans="1:57">
      <c r="A36">
        <v>965</v>
      </c>
      <c r="B36" t="s">
        <v>1077</v>
      </c>
      <c r="D36" t="s">
        <v>66</v>
      </c>
      <c r="E36" t="s">
        <v>1078</v>
      </c>
      <c r="F36" t="s">
        <v>74</v>
      </c>
      <c r="G36">
        <v>444</v>
      </c>
      <c r="H36" t="s">
        <v>63</v>
      </c>
      <c r="I36">
        <v>5</v>
      </c>
      <c r="J36" t="str">
        <f>HYPERLINK("Gene965-zp_tree_all.dnd", "Gene965-tree")</f>
        <v>Gene965-tree</v>
      </c>
      <c r="K36">
        <v>2</v>
      </c>
      <c r="L36">
        <v>3</v>
      </c>
      <c r="M36">
        <v>2</v>
      </c>
      <c r="N36">
        <v>3</v>
      </c>
      <c r="O36">
        <v>0.6</v>
      </c>
      <c r="P36" t="s">
        <v>124</v>
      </c>
      <c r="Q36" t="s">
        <v>86</v>
      </c>
      <c r="R36" t="s">
        <v>66</v>
      </c>
      <c r="S36" t="s">
        <v>66</v>
      </c>
      <c r="T36">
        <v>0</v>
      </c>
      <c r="U36">
        <v>0</v>
      </c>
      <c r="V36">
        <v>8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8</v>
      </c>
      <c r="AG36">
        <v>0</v>
      </c>
      <c r="AH36">
        <v>5</v>
      </c>
      <c r="AI36">
        <v>2</v>
      </c>
      <c r="AJ36">
        <v>24</v>
      </c>
      <c r="AK36">
        <v>4</v>
      </c>
      <c r="AL36">
        <v>45</v>
      </c>
      <c r="AM36">
        <v>5</v>
      </c>
      <c r="AN36" t="s">
        <v>1079</v>
      </c>
      <c r="AO36" t="s">
        <v>1080</v>
      </c>
      <c r="AP36">
        <v>0.46500000000000002</v>
      </c>
      <c r="AQ36" t="s">
        <v>69</v>
      </c>
      <c r="AR36">
        <v>69</v>
      </c>
      <c r="AS36">
        <v>9</v>
      </c>
      <c r="AT36">
        <v>3.0849999999999999E-2</v>
      </c>
      <c r="AU36">
        <v>-5.28E-3</v>
      </c>
      <c r="AV36">
        <v>0.13475000000000001</v>
      </c>
      <c r="AW36">
        <v>-2.368E-2</v>
      </c>
      <c r="AX36">
        <v>4.6299999999999996E-3</v>
      </c>
      <c r="AY36">
        <v>-9.2000000000000003E-4</v>
      </c>
      <c r="AZ36">
        <v>3.4380000000000001E-2</v>
      </c>
      <c r="BA36">
        <v>1</v>
      </c>
      <c r="BB36" t="s">
        <v>70</v>
      </c>
      <c r="BC36">
        <v>0.91300000000000003</v>
      </c>
      <c r="BD36">
        <v>0.61499999999999999</v>
      </c>
      <c r="BE36" t="s">
        <v>139</v>
      </c>
    </row>
    <row r="37" spans="1:57">
      <c r="A37">
        <v>966</v>
      </c>
      <c r="B37" t="s">
        <v>1081</v>
      </c>
      <c r="D37" t="s">
        <v>66</v>
      </c>
      <c r="E37" t="s">
        <v>1082</v>
      </c>
      <c r="F37" t="s">
        <v>940</v>
      </c>
      <c r="G37">
        <v>143</v>
      </c>
      <c r="H37" t="s">
        <v>63</v>
      </c>
      <c r="I37">
        <v>5</v>
      </c>
      <c r="J37" t="str">
        <f>HYPERLINK("Gene966-zp_tree_all.dnd", "Gene966-tree")</f>
        <v>Gene966-tree</v>
      </c>
      <c r="K37">
        <v>5</v>
      </c>
      <c r="L37">
        <v>0</v>
      </c>
      <c r="M37">
        <v>4</v>
      </c>
      <c r="N37">
        <v>0</v>
      </c>
      <c r="O37">
        <v>0</v>
      </c>
      <c r="P37" t="s">
        <v>135</v>
      </c>
      <c r="Q37" t="s">
        <v>66</v>
      </c>
      <c r="R37" t="s">
        <v>66</v>
      </c>
      <c r="S37" t="s">
        <v>66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1</v>
      </c>
      <c r="AJ37">
        <v>2</v>
      </c>
      <c r="AK37">
        <v>0</v>
      </c>
      <c r="AL37">
        <v>6</v>
      </c>
      <c r="AM37">
        <v>1</v>
      </c>
      <c r="AN37" t="s">
        <v>68</v>
      </c>
      <c r="AO37" t="s">
        <v>1083</v>
      </c>
      <c r="AP37">
        <v>0</v>
      </c>
      <c r="AQ37" t="s">
        <v>69</v>
      </c>
      <c r="AR37">
        <v>8</v>
      </c>
      <c r="AS37">
        <v>1</v>
      </c>
      <c r="AT37">
        <v>1.321E-2</v>
      </c>
      <c r="AU37">
        <v>-3.1900000000000001E-3</v>
      </c>
      <c r="AV37">
        <v>5.1740000000000001E-2</v>
      </c>
      <c r="AW37">
        <v>-1.2330000000000001E-2</v>
      </c>
      <c r="AX37">
        <v>2.0400000000000001E-3</v>
      </c>
      <c r="AY37">
        <v>-4.8000000000000001E-4</v>
      </c>
      <c r="AZ37">
        <v>3.9379999999999998E-2</v>
      </c>
      <c r="BA37">
        <v>1</v>
      </c>
      <c r="BB37" t="s">
        <v>70</v>
      </c>
      <c r="BC37">
        <v>1.119</v>
      </c>
      <c r="BD37">
        <v>1.119</v>
      </c>
      <c r="BE37" t="s">
        <v>139</v>
      </c>
    </row>
    <row r="38" spans="1:57">
      <c r="A38">
        <v>984</v>
      </c>
      <c r="B38" t="s">
        <v>1089</v>
      </c>
      <c r="D38" t="s">
        <v>66</v>
      </c>
      <c r="E38" t="s">
        <v>1090</v>
      </c>
      <c r="F38" t="s">
        <v>1091</v>
      </c>
      <c r="G38">
        <v>67</v>
      </c>
      <c r="H38" t="s">
        <v>63</v>
      </c>
      <c r="I38">
        <v>5</v>
      </c>
      <c r="J38" t="str">
        <f>HYPERLINK("Gene984-zp_tree_all.dnd", "Gene984-tree")</f>
        <v>Gene984-tree</v>
      </c>
      <c r="K38">
        <v>4</v>
      </c>
      <c r="L38">
        <v>1</v>
      </c>
      <c r="M38">
        <v>3</v>
      </c>
      <c r="N38">
        <v>1</v>
      </c>
      <c r="O38">
        <v>0.25</v>
      </c>
      <c r="P38" t="s">
        <v>112</v>
      </c>
      <c r="Q38" t="s">
        <v>65</v>
      </c>
      <c r="R38" t="s">
        <v>66</v>
      </c>
      <c r="S38" t="s">
        <v>66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3</v>
      </c>
      <c r="AI38">
        <v>1</v>
      </c>
      <c r="AJ38">
        <v>3</v>
      </c>
      <c r="AK38">
        <v>1</v>
      </c>
      <c r="AL38">
        <v>1</v>
      </c>
      <c r="AM38">
        <v>0</v>
      </c>
      <c r="AN38" t="s">
        <v>1092</v>
      </c>
      <c r="AO38" t="s">
        <v>68</v>
      </c>
      <c r="AP38">
        <v>0.64800000000000002</v>
      </c>
      <c r="AQ38" t="s">
        <v>69</v>
      </c>
      <c r="AR38">
        <v>4</v>
      </c>
      <c r="AS38">
        <v>1</v>
      </c>
      <c r="AT38">
        <v>1.244E-2</v>
      </c>
      <c r="AU38">
        <v>-1.9400000000000001E-3</v>
      </c>
      <c r="AV38">
        <v>4.3619999999999999E-2</v>
      </c>
      <c r="AW38">
        <v>-1.06E-2</v>
      </c>
      <c r="AX38">
        <v>3.2799999999999999E-3</v>
      </c>
      <c r="AY38">
        <v>-1.2199999999999999E-3</v>
      </c>
      <c r="AZ38">
        <v>7.5079999999999994E-2</v>
      </c>
      <c r="BA38">
        <v>1</v>
      </c>
      <c r="BB38" t="s">
        <v>70</v>
      </c>
      <c r="BC38">
        <v>0.61499999999999999</v>
      </c>
      <c r="BD38">
        <v>-1.0940000000000001</v>
      </c>
      <c r="BE38" t="s">
        <v>139</v>
      </c>
    </row>
    <row r="39" spans="1:57">
      <c r="A39">
        <v>985</v>
      </c>
      <c r="B39" t="s">
        <v>1093</v>
      </c>
      <c r="D39" t="s">
        <v>66</v>
      </c>
      <c r="E39" t="s">
        <v>1094</v>
      </c>
      <c r="F39" t="s">
        <v>74</v>
      </c>
      <c r="G39">
        <v>72</v>
      </c>
      <c r="H39" t="s">
        <v>63</v>
      </c>
      <c r="I39">
        <v>5</v>
      </c>
      <c r="J39" t="str">
        <f>HYPERLINK("Gene985-zp_tree_all.dnd", "Gene985-tree")</f>
        <v>Gene985-tree</v>
      </c>
      <c r="K39">
        <v>5</v>
      </c>
      <c r="L39">
        <v>0</v>
      </c>
      <c r="M39">
        <v>4</v>
      </c>
      <c r="N39">
        <v>0</v>
      </c>
      <c r="O39">
        <v>0</v>
      </c>
      <c r="P39" t="s">
        <v>135</v>
      </c>
      <c r="Q39" t="s">
        <v>66</v>
      </c>
      <c r="R39" t="s">
        <v>66</v>
      </c>
      <c r="S39" t="s">
        <v>66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>
        <v>1</v>
      </c>
      <c r="AJ39">
        <v>2</v>
      </c>
      <c r="AK39">
        <v>0</v>
      </c>
      <c r="AL39">
        <v>3</v>
      </c>
      <c r="AM39">
        <v>2</v>
      </c>
      <c r="AN39" t="s">
        <v>68</v>
      </c>
      <c r="AO39" t="s">
        <v>1095</v>
      </c>
      <c r="AP39">
        <v>0</v>
      </c>
      <c r="AQ39" t="s">
        <v>69</v>
      </c>
      <c r="AR39">
        <v>5</v>
      </c>
      <c r="AS39">
        <v>2</v>
      </c>
      <c r="AT39">
        <v>2.0060000000000001E-2</v>
      </c>
      <c r="AU39">
        <v>-4.5900000000000003E-3</v>
      </c>
      <c r="AV39">
        <v>6.991E-2</v>
      </c>
      <c r="AW39">
        <v>-1.494E-2</v>
      </c>
      <c r="AX39">
        <v>7.8799999999999999E-3</v>
      </c>
      <c r="AY39">
        <v>-1.8600000000000001E-3</v>
      </c>
      <c r="AZ39">
        <v>0.11274000000000001</v>
      </c>
      <c r="BA39">
        <v>0.98899999999999999</v>
      </c>
      <c r="BB39" t="s">
        <v>70</v>
      </c>
      <c r="BC39">
        <v>1.3280000000000001</v>
      </c>
      <c r="BD39">
        <v>1.3280000000000001</v>
      </c>
      <c r="BE39" t="s">
        <v>139</v>
      </c>
    </row>
    <row r="40" spans="1:57">
      <c r="A40">
        <v>1008</v>
      </c>
      <c r="B40" t="s">
        <v>1105</v>
      </c>
      <c r="D40" t="s">
        <v>66</v>
      </c>
      <c r="E40" t="s">
        <v>1106</v>
      </c>
      <c r="F40" t="s">
        <v>787</v>
      </c>
      <c r="G40">
        <v>203</v>
      </c>
      <c r="H40" t="s">
        <v>63</v>
      </c>
      <c r="I40">
        <v>5</v>
      </c>
      <c r="J40" t="str">
        <f>HYPERLINK("Gene1008-zp_tree_all.dnd", "Gene1008-tree")</f>
        <v>Gene1008-tree</v>
      </c>
      <c r="K40">
        <v>4</v>
      </c>
      <c r="L40">
        <v>1</v>
      </c>
      <c r="M40">
        <v>4</v>
      </c>
      <c r="N40">
        <v>1</v>
      </c>
      <c r="O40">
        <v>0.2</v>
      </c>
      <c r="P40" t="s">
        <v>64</v>
      </c>
      <c r="Q40" t="s">
        <v>65</v>
      </c>
      <c r="R40" t="s">
        <v>66</v>
      </c>
      <c r="S40" t="s">
        <v>66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5</v>
      </c>
      <c r="AI40">
        <v>2</v>
      </c>
      <c r="AJ40">
        <v>13</v>
      </c>
      <c r="AK40">
        <v>1</v>
      </c>
      <c r="AL40">
        <v>11</v>
      </c>
      <c r="AM40">
        <v>1</v>
      </c>
      <c r="AN40" t="s">
        <v>1107</v>
      </c>
      <c r="AO40" t="s">
        <v>1108</v>
      </c>
      <c r="AP40">
        <v>0.06</v>
      </c>
      <c r="AQ40" t="s">
        <v>69</v>
      </c>
      <c r="AR40">
        <v>24</v>
      </c>
      <c r="AS40">
        <v>2</v>
      </c>
      <c r="AT40">
        <v>2.069E-2</v>
      </c>
      <c r="AU40">
        <v>-3.2799999999999999E-3</v>
      </c>
      <c r="AV40">
        <v>0.10102999999999999</v>
      </c>
      <c r="AW40">
        <v>-1.617E-2</v>
      </c>
      <c r="AX40">
        <v>2.0699999999999998E-3</v>
      </c>
      <c r="AY40">
        <v>-5.1000000000000004E-4</v>
      </c>
      <c r="AZ40">
        <v>2.0480000000000002E-2</v>
      </c>
      <c r="BA40">
        <v>1</v>
      </c>
      <c r="BB40" t="s">
        <v>70</v>
      </c>
      <c r="BC40">
        <v>0.372</v>
      </c>
      <c r="BD40">
        <v>0.372</v>
      </c>
      <c r="BE40" t="s">
        <v>139</v>
      </c>
    </row>
    <row r="41" spans="1:57">
      <c r="A41">
        <v>1009</v>
      </c>
      <c r="B41" t="s">
        <v>1109</v>
      </c>
      <c r="D41" t="s">
        <v>66</v>
      </c>
      <c r="E41" t="s">
        <v>1110</v>
      </c>
      <c r="F41" t="s">
        <v>74</v>
      </c>
      <c r="G41">
        <v>118</v>
      </c>
      <c r="H41" t="s">
        <v>63</v>
      </c>
      <c r="I41">
        <v>5</v>
      </c>
      <c r="J41" t="str">
        <f>HYPERLINK("Gene1009-zp_tree_all.dnd", "Gene1009-tree")</f>
        <v>Gene1009-tree</v>
      </c>
      <c r="K41">
        <v>5</v>
      </c>
      <c r="L41">
        <v>0</v>
      </c>
      <c r="M41">
        <v>5</v>
      </c>
      <c r="N41">
        <v>0</v>
      </c>
      <c r="O41">
        <v>0</v>
      </c>
      <c r="P41" t="s">
        <v>96</v>
      </c>
      <c r="Q41" t="s">
        <v>66</v>
      </c>
      <c r="R41" t="s">
        <v>66</v>
      </c>
      <c r="S41" t="s">
        <v>66</v>
      </c>
      <c r="T41">
        <v>0</v>
      </c>
      <c r="U41">
        <v>0</v>
      </c>
      <c r="V41">
        <v>3</v>
      </c>
      <c r="W41">
        <v>0</v>
      </c>
      <c r="X41">
        <v>0</v>
      </c>
      <c r="Y41">
        <v>0</v>
      </c>
      <c r="Z41">
        <v>0</v>
      </c>
      <c r="AA41">
        <v>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5</v>
      </c>
      <c r="AI41">
        <v>2</v>
      </c>
      <c r="AJ41">
        <v>10</v>
      </c>
      <c r="AK41">
        <v>0</v>
      </c>
      <c r="AL41">
        <v>10</v>
      </c>
      <c r="AM41">
        <v>4</v>
      </c>
      <c r="AN41" t="s">
        <v>68</v>
      </c>
      <c r="AO41" t="s">
        <v>1111</v>
      </c>
      <c r="AP41">
        <v>0.85199999999999998</v>
      </c>
      <c r="AQ41" t="s">
        <v>69</v>
      </c>
      <c r="AR41">
        <v>20</v>
      </c>
      <c r="AS41">
        <v>4</v>
      </c>
      <c r="AT41">
        <v>3.3329999999999999E-2</v>
      </c>
      <c r="AU41">
        <v>-5.6299999999999996E-3</v>
      </c>
      <c r="AV41">
        <v>0.13228999999999999</v>
      </c>
      <c r="AW41">
        <v>-2.051E-2</v>
      </c>
      <c r="AX41">
        <v>8.8199999999999997E-3</v>
      </c>
      <c r="AY41">
        <v>-2.0999999999999999E-3</v>
      </c>
      <c r="AZ41">
        <v>6.6640000000000005E-2</v>
      </c>
      <c r="BA41">
        <v>1</v>
      </c>
      <c r="BB41" t="s">
        <v>70</v>
      </c>
      <c r="BC41">
        <v>1.2629999999999999</v>
      </c>
      <c r="BD41">
        <v>0.97</v>
      </c>
      <c r="BE41" t="s">
        <v>139</v>
      </c>
    </row>
    <row r="42" spans="1:57">
      <c r="A42">
        <v>1032</v>
      </c>
      <c r="B42" t="s">
        <v>1124</v>
      </c>
      <c r="D42" t="s">
        <v>66</v>
      </c>
      <c r="E42" t="s">
        <v>1125</v>
      </c>
      <c r="F42" t="s">
        <v>74</v>
      </c>
      <c r="G42">
        <v>46</v>
      </c>
      <c r="H42" t="s">
        <v>63</v>
      </c>
      <c r="I42">
        <v>5</v>
      </c>
      <c r="J42" t="str">
        <f>HYPERLINK("Gene1032-zp_tree_all.dnd", "Gene1032-tree")</f>
        <v>Gene1032-tree</v>
      </c>
      <c r="K42">
        <v>5</v>
      </c>
      <c r="L42">
        <v>0</v>
      </c>
      <c r="M42">
        <v>4</v>
      </c>
      <c r="N42">
        <v>0</v>
      </c>
      <c r="O42">
        <v>0</v>
      </c>
      <c r="P42" t="s">
        <v>135</v>
      </c>
      <c r="Q42" t="s">
        <v>66</v>
      </c>
      <c r="R42" t="s">
        <v>66</v>
      </c>
      <c r="S42" t="s">
        <v>66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</v>
      </c>
      <c r="AI42">
        <v>1</v>
      </c>
      <c r="AJ42">
        <v>4</v>
      </c>
      <c r="AK42">
        <v>0</v>
      </c>
      <c r="AL42">
        <v>3</v>
      </c>
      <c r="AM42">
        <v>1</v>
      </c>
      <c r="AN42" t="s">
        <v>68</v>
      </c>
      <c r="AO42" t="s">
        <v>1126</v>
      </c>
      <c r="AP42">
        <v>0</v>
      </c>
      <c r="AQ42" t="s">
        <v>69</v>
      </c>
      <c r="AR42">
        <v>7</v>
      </c>
      <c r="AS42">
        <v>1</v>
      </c>
      <c r="AT42">
        <v>3.261E-2</v>
      </c>
      <c r="AU42">
        <v>-6.5599999999999999E-3</v>
      </c>
      <c r="AV42">
        <v>0.16883999999999999</v>
      </c>
      <c r="AW42">
        <v>-3.3980000000000003E-2</v>
      </c>
      <c r="AX42">
        <v>5.9899999999999997E-3</v>
      </c>
      <c r="AY42">
        <v>-1.41E-3</v>
      </c>
      <c r="AZ42">
        <v>3.5470000000000002E-2</v>
      </c>
      <c r="BA42">
        <v>1</v>
      </c>
      <c r="BB42" t="s">
        <v>70</v>
      </c>
      <c r="BC42">
        <v>1.5349999999999999</v>
      </c>
      <c r="BD42">
        <v>0.498</v>
      </c>
      <c r="BE42" t="s">
        <v>139</v>
      </c>
    </row>
    <row r="43" spans="1:57">
      <c r="A43">
        <v>1050</v>
      </c>
      <c r="B43" t="s">
        <v>1135</v>
      </c>
      <c r="D43" t="s">
        <v>66</v>
      </c>
      <c r="E43" t="s">
        <v>1136</v>
      </c>
      <c r="F43" t="s">
        <v>74</v>
      </c>
      <c r="G43">
        <v>77</v>
      </c>
      <c r="H43" t="s">
        <v>63</v>
      </c>
      <c r="I43">
        <v>5</v>
      </c>
      <c r="J43" t="str">
        <f>HYPERLINK("Gene1050-zp_tree_all.dnd", "Gene1050-tree")</f>
        <v>Gene1050-tree</v>
      </c>
      <c r="K43">
        <v>0</v>
      </c>
      <c r="L43">
        <v>5</v>
      </c>
      <c r="M43">
        <v>0</v>
      </c>
      <c r="N43">
        <v>4</v>
      </c>
      <c r="O43">
        <v>1</v>
      </c>
      <c r="P43" t="s">
        <v>66</v>
      </c>
      <c r="Q43" t="s">
        <v>135</v>
      </c>
      <c r="R43">
        <v>3.1949999999999998</v>
      </c>
      <c r="S43" t="s">
        <v>69</v>
      </c>
      <c r="T43">
        <v>0</v>
      </c>
      <c r="U43">
        <v>0</v>
      </c>
      <c r="V43">
        <v>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5</v>
      </c>
      <c r="AG43">
        <v>0</v>
      </c>
      <c r="AH43">
        <v>2</v>
      </c>
      <c r="AI43">
        <v>1</v>
      </c>
      <c r="AJ43">
        <v>1</v>
      </c>
      <c r="AK43">
        <v>3</v>
      </c>
      <c r="AL43">
        <v>4</v>
      </c>
      <c r="AM43">
        <v>2</v>
      </c>
      <c r="AN43" t="s">
        <v>1137</v>
      </c>
      <c r="AO43" t="s">
        <v>1138</v>
      </c>
      <c r="AP43">
        <v>1.069</v>
      </c>
      <c r="AQ43" t="s">
        <v>69</v>
      </c>
      <c r="AR43">
        <v>5</v>
      </c>
      <c r="AS43">
        <v>5</v>
      </c>
      <c r="AT43">
        <v>2.597E-2</v>
      </c>
      <c r="AU43">
        <v>-5.5900000000000004E-3</v>
      </c>
      <c r="AV43">
        <v>7.0879999999999999E-2</v>
      </c>
      <c r="AW43">
        <v>-1.3610000000000001E-2</v>
      </c>
      <c r="AX43">
        <v>1.5650000000000001E-2</v>
      </c>
      <c r="AY43">
        <v>-3.0599999999999998E-3</v>
      </c>
      <c r="AZ43">
        <v>0.22086</v>
      </c>
      <c r="BA43">
        <v>1</v>
      </c>
      <c r="BB43" t="s">
        <v>70</v>
      </c>
      <c r="BC43">
        <v>0.89400000000000002</v>
      </c>
      <c r="BD43">
        <v>0.89400000000000002</v>
      </c>
      <c r="BE43" t="s">
        <v>139</v>
      </c>
    </row>
    <row r="44" spans="1:57">
      <c r="A44">
        <v>1055</v>
      </c>
      <c r="B44" t="s">
        <v>1139</v>
      </c>
      <c r="D44" t="s">
        <v>66</v>
      </c>
      <c r="E44" t="s">
        <v>1140</v>
      </c>
      <c r="F44" t="s">
        <v>74</v>
      </c>
      <c r="G44">
        <v>66</v>
      </c>
      <c r="H44" t="s">
        <v>63</v>
      </c>
      <c r="I44">
        <v>5</v>
      </c>
      <c r="J44" t="str">
        <f>HYPERLINK("Gene1055-zp_tree_all.dnd", "Gene1055-tree")</f>
        <v>Gene1055-tree</v>
      </c>
      <c r="K44">
        <v>4</v>
      </c>
      <c r="L44">
        <v>1</v>
      </c>
      <c r="M44">
        <v>3</v>
      </c>
      <c r="N44">
        <v>1</v>
      </c>
      <c r="O44">
        <v>0.25</v>
      </c>
      <c r="P44" t="s">
        <v>112</v>
      </c>
      <c r="Q44" t="s">
        <v>65</v>
      </c>
      <c r="R44" t="s">
        <v>66</v>
      </c>
      <c r="S44" t="s">
        <v>66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4</v>
      </c>
      <c r="AI44">
        <v>1</v>
      </c>
      <c r="AJ44">
        <v>6</v>
      </c>
      <c r="AK44">
        <v>1</v>
      </c>
      <c r="AL44">
        <v>5</v>
      </c>
      <c r="AM44">
        <v>0</v>
      </c>
      <c r="AN44" t="s">
        <v>1141</v>
      </c>
      <c r="AO44" t="s">
        <v>68</v>
      </c>
      <c r="AP44">
        <v>0.64200000000000002</v>
      </c>
      <c r="AQ44" t="s">
        <v>69</v>
      </c>
      <c r="AR44">
        <v>11</v>
      </c>
      <c r="AS44">
        <v>1</v>
      </c>
      <c r="AT44">
        <v>3.3669999999999999E-2</v>
      </c>
      <c r="AU44">
        <v>-5.5399999999999998E-3</v>
      </c>
      <c r="AV44">
        <v>0.14831</v>
      </c>
      <c r="AW44">
        <v>-2.6880000000000001E-2</v>
      </c>
      <c r="AX44">
        <v>3.32E-3</v>
      </c>
      <c r="AY44">
        <v>-9.6000000000000002E-4</v>
      </c>
      <c r="AZ44">
        <v>2.2380000000000001E-2</v>
      </c>
      <c r="BA44">
        <v>1</v>
      </c>
      <c r="BB44" t="s">
        <v>70</v>
      </c>
      <c r="BC44">
        <v>0.84499999999999997</v>
      </c>
      <c r="BD44">
        <v>0.16400000000000001</v>
      </c>
      <c r="BE44" t="s">
        <v>139</v>
      </c>
    </row>
    <row r="45" spans="1:57">
      <c r="A45">
        <v>1062</v>
      </c>
      <c r="B45" t="s">
        <v>1151</v>
      </c>
      <c r="D45" t="s">
        <v>66</v>
      </c>
      <c r="E45" t="s">
        <v>1152</v>
      </c>
      <c r="F45" t="s">
        <v>1153</v>
      </c>
      <c r="G45">
        <v>350</v>
      </c>
      <c r="H45" t="s">
        <v>63</v>
      </c>
      <c r="I45">
        <v>5</v>
      </c>
      <c r="J45" t="str">
        <f>HYPERLINK("Gene1062-zp_tree_all.dnd", "Gene1062-tree")</f>
        <v>Gene1062-tree</v>
      </c>
      <c r="K45">
        <v>2</v>
      </c>
      <c r="L45">
        <v>3</v>
      </c>
      <c r="M45">
        <v>2</v>
      </c>
      <c r="N45">
        <v>3</v>
      </c>
      <c r="O45">
        <v>0.6</v>
      </c>
      <c r="P45" t="s">
        <v>124</v>
      </c>
      <c r="Q45" t="s">
        <v>86</v>
      </c>
      <c r="R45" t="s">
        <v>66</v>
      </c>
      <c r="S45" t="s">
        <v>66</v>
      </c>
      <c r="T45">
        <v>1</v>
      </c>
      <c r="U45">
        <v>2</v>
      </c>
      <c r="V45">
        <v>18</v>
      </c>
      <c r="W45">
        <v>0.1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2</v>
      </c>
      <c r="AF45">
        <v>18</v>
      </c>
      <c r="AG45">
        <v>0.1</v>
      </c>
      <c r="AH45">
        <v>5</v>
      </c>
      <c r="AI45">
        <v>2</v>
      </c>
      <c r="AJ45">
        <v>44</v>
      </c>
      <c r="AK45">
        <v>11</v>
      </c>
      <c r="AL45">
        <v>19</v>
      </c>
      <c r="AM45">
        <v>9</v>
      </c>
      <c r="AN45" t="s">
        <v>1154</v>
      </c>
      <c r="AO45" t="s">
        <v>1155</v>
      </c>
      <c r="AP45">
        <v>0.52500000000000002</v>
      </c>
      <c r="AQ45" t="s">
        <v>69</v>
      </c>
      <c r="AR45">
        <v>63</v>
      </c>
      <c r="AS45">
        <v>20</v>
      </c>
      <c r="AT45">
        <v>3.4950000000000002E-2</v>
      </c>
      <c r="AU45">
        <v>-4.5799999999999999E-3</v>
      </c>
      <c r="AV45">
        <v>0.13538</v>
      </c>
      <c r="AW45">
        <v>-1.678E-2</v>
      </c>
      <c r="AX45">
        <v>1.193E-2</v>
      </c>
      <c r="AY45">
        <v>-2.15E-3</v>
      </c>
      <c r="AZ45">
        <v>8.8139999999999996E-2</v>
      </c>
      <c r="BA45">
        <v>1</v>
      </c>
      <c r="BB45" t="s">
        <v>70</v>
      </c>
      <c r="BC45">
        <v>0.14699999999999999</v>
      </c>
      <c r="BD45">
        <v>-0.126</v>
      </c>
      <c r="BE45" t="s">
        <v>139</v>
      </c>
    </row>
    <row r="46" spans="1:57">
      <c r="A46">
        <v>1064</v>
      </c>
      <c r="B46" t="s">
        <v>1156</v>
      </c>
      <c r="D46" t="s">
        <v>66</v>
      </c>
      <c r="E46" t="s">
        <v>1157</v>
      </c>
      <c r="F46" t="s">
        <v>1158</v>
      </c>
      <c r="G46">
        <v>441</v>
      </c>
      <c r="H46" t="s">
        <v>85</v>
      </c>
      <c r="I46">
        <v>4</v>
      </c>
      <c r="J46" t="str">
        <f>HYPERLINK("Gene1064-zp_tree_all.dnd", "Gene1064-tree")</f>
        <v>Gene1064-tree</v>
      </c>
      <c r="K46">
        <v>0</v>
      </c>
      <c r="L46">
        <v>4</v>
      </c>
      <c r="M46">
        <v>0</v>
      </c>
      <c r="N46">
        <v>4</v>
      </c>
      <c r="O46">
        <v>1</v>
      </c>
      <c r="P46" t="s">
        <v>66</v>
      </c>
      <c r="Q46" t="s">
        <v>64</v>
      </c>
      <c r="R46" t="s">
        <v>66</v>
      </c>
      <c r="S46" t="s">
        <v>66</v>
      </c>
      <c r="T46">
        <v>1</v>
      </c>
      <c r="U46">
        <v>3</v>
      </c>
      <c r="V46">
        <v>28</v>
      </c>
      <c r="W46">
        <v>9.6769999999999995E-2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</v>
      </c>
      <c r="AE46">
        <v>3</v>
      </c>
      <c r="AF46">
        <v>28</v>
      </c>
      <c r="AG46">
        <v>9.6769999999999995E-2</v>
      </c>
      <c r="AH46">
        <v>4</v>
      </c>
      <c r="AI46">
        <v>1</v>
      </c>
      <c r="AJ46">
        <v>38</v>
      </c>
      <c r="AK46">
        <v>32</v>
      </c>
      <c r="AL46">
        <v>2</v>
      </c>
      <c r="AM46">
        <v>0</v>
      </c>
      <c r="AN46" t="s">
        <v>1159</v>
      </c>
      <c r="AO46" t="s">
        <v>68</v>
      </c>
      <c r="AP46">
        <v>0.60399999999999998</v>
      </c>
      <c r="AQ46" t="s">
        <v>69</v>
      </c>
      <c r="AR46">
        <v>40</v>
      </c>
      <c r="AS46">
        <v>32</v>
      </c>
      <c r="AT46">
        <v>2.708E-2</v>
      </c>
      <c r="AU46">
        <v>-7.77E-3</v>
      </c>
      <c r="AV46">
        <v>7.7039999999999997E-2</v>
      </c>
      <c r="AW46">
        <v>-2.2749999999999999E-2</v>
      </c>
      <c r="AX46">
        <v>1.542E-2</v>
      </c>
      <c r="AY46">
        <v>-4.47E-3</v>
      </c>
      <c r="AZ46">
        <v>0.20018</v>
      </c>
      <c r="BA46">
        <v>1</v>
      </c>
      <c r="BB46" t="s">
        <v>70</v>
      </c>
      <c r="BC46">
        <v>-0.64200000000000002</v>
      </c>
      <c r="BD46">
        <v>-0.77900000000000003</v>
      </c>
      <c r="BE46" t="s">
        <v>139</v>
      </c>
    </row>
    <row r="47" spans="1:57">
      <c r="A47">
        <v>1079</v>
      </c>
      <c r="B47" t="s">
        <v>1168</v>
      </c>
      <c r="D47" t="s">
        <v>66</v>
      </c>
      <c r="E47" t="s">
        <v>1169</v>
      </c>
      <c r="F47" t="s">
        <v>1170</v>
      </c>
      <c r="G47">
        <v>205</v>
      </c>
      <c r="H47" t="s">
        <v>106</v>
      </c>
      <c r="I47">
        <v>4</v>
      </c>
      <c r="J47" t="str">
        <f>HYPERLINK("Gene1079-zp_tree_all.dnd", "Gene1079-tree")</f>
        <v>Gene1079-tree</v>
      </c>
      <c r="K47">
        <v>1</v>
      </c>
      <c r="L47">
        <v>3</v>
      </c>
      <c r="M47">
        <v>1</v>
      </c>
      <c r="N47">
        <v>3</v>
      </c>
      <c r="O47">
        <v>0.75</v>
      </c>
      <c r="P47" t="s">
        <v>65</v>
      </c>
      <c r="Q47" t="s">
        <v>86</v>
      </c>
      <c r="R47" t="s">
        <v>66</v>
      </c>
      <c r="S47" t="s">
        <v>66</v>
      </c>
      <c r="T47">
        <v>0</v>
      </c>
      <c r="U47">
        <v>0</v>
      </c>
      <c r="V47">
        <v>8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8</v>
      </c>
      <c r="AG47">
        <v>0</v>
      </c>
      <c r="AH47">
        <v>4</v>
      </c>
      <c r="AI47">
        <v>1</v>
      </c>
      <c r="AJ47">
        <v>26</v>
      </c>
      <c r="AK47">
        <v>8</v>
      </c>
      <c r="AL47">
        <v>1</v>
      </c>
      <c r="AM47">
        <v>0</v>
      </c>
      <c r="AN47" t="s">
        <v>1171</v>
      </c>
      <c r="AO47" t="s">
        <v>68</v>
      </c>
      <c r="AP47">
        <v>1.0620000000000001</v>
      </c>
      <c r="AQ47" t="s">
        <v>69</v>
      </c>
      <c r="AR47">
        <v>27</v>
      </c>
      <c r="AS47">
        <v>8</v>
      </c>
      <c r="AT47">
        <v>2.8729999999999999E-2</v>
      </c>
      <c r="AU47">
        <v>-5.11E-3</v>
      </c>
      <c r="AV47">
        <v>0.12274</v>
      </c>
      <c r="AW47">
        <v>-1.9970000000000002E-2</v>
      </c>
      <c r="AX47">
        <v>8.1799999999999998E-3</v>
      </c>
      <c r="AY47">
        <v>-2.2699999999999999E-3</v>
      </c>
      <c r="AZ47">
        <v>6.6650000000000001E-2</v>
      </c>
      <c r="BA47">
        <v>1</v>
      </c>
      <c r="BB47" t="s">
        <v>70</v>
      </c>
      <c r="BC47">
        <v>-0.77300000000000002</v>
      </c>
      <c r="BD47">
        <v>-0.77300000000000002</v>
      </c>
      <c r="BE47" t="s">
        <v>139</v>
      </c>
    </row>
    <row r="48" spans="1:57">
      <c r="A48">
        <v>1137</v>
      </c>
      <c r="B48" t="s">
        <v>1189</v>
      </c>
      <c r="D48" t="s">
        <v>66</v>
      </c>
      <c r="E48" t="s">
        <v>1190</v>
      </c>
      <c r="F48" t="s">
        <v>74</v>
      </c>
      <c r="G48">
        <v>61</v>
      </c>
      <c r="H48" t="s">
        <v>63</v>
      </c>
      <c r="I48">
        <v>5</v>
      </c>
      <c r="J48" t="str">
        <f>HYPERLINK("Gene1137-zp_tree_all.dnd", "Gene1137-tree")</f>
        <v>Gene1137-tree</v>
      </c>
      <c r="K48">
        <v>2</v>
      </c>
      <c r="L48">
        <v>3</v>
      </c>
      <c r="M48">
        <v>2</v>
      </c>
      <c r="N48">
        <v>2</v>
      </c>
      <c r="O48">
        <v>0.5</v>
      </c>
      <c r="P48" t="s">
        <v>124</v>
      </c>
      <c r="Q48" t="s">
        <v>185</v>
      </c>
      <c r="R48">
        <v>0.30599999999999999</v>
      </c>
      <c r="S48" t="s">
        <v>69</v>
      </c>
      <c r="T48">
        <v>0</v>
      </c>
      <c r="U48">
        <v>0</v>
      </c>
      <c r="V48">
        <v>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4</v>
      </c>
      <c r="AG48">
        <v>0</v>
      </c>
      <c r="AH48">
        <v>2</v>
      </c>
      <c r="AI48">
        <v>1</v>
      </c>
      <c r="AJ48">
        <v>1</v>
      </c>
      <c r="AK48">
        <v>1</v>
      </c>
      <c r="AL48">
        <v>2</v>
      </c>
      <c r="AM48">
        <v>3</v>
      </c>
      <c r="AN48" t="s">
        <v>1191</v>
      </c>
      <c r="AO48" t="s">
        <v>1192</v>
      </c>
      <c r="AP48">
        <v>0.34499999999999997</v>
      </c>
      <c r="AQ48" t="s">
        <v>69</v>
      </c>
      <c r="AR48">
        <v>3</v>
      </c>
      <c r="AS48">
        <v>4</v>
      </c>
      <c r="AT48">
        <v>2.368E-2</v>
      </c>
      <c r="AU48">
        <v>-5.4099999999999999E-3</v>
      </c>
      <c r="AV48">
        <v>4.7309999999999998E-2</v>
      </c>
      <c r="AW48">
        <v>-8.2100000000000003E-3</v>
      </c>
      <c r="AX48">
        <v>1.7819999999999999E-2</v>
      </c>
      <c r="AY48">
        <v>-4.3800000000000002E-3</v>
      </c>
      <c r="AZ48">
        <v>0.37663000000000002</v>
      </c>
      <c r="BA48">
        <v>0.73299999999999998</v>
      </c>
      <c r="BB48" t="s">
        <v>188</v>
      </c>
      <c r="BC48">
        <v>0.91300000000000003</v>
      </c>
      <c r="BD48">
        <v>0.91300000000000003</v>
      </c>
      <c r="BE48" t="s">
        <v>139</v>
      </c>
    </row>
    <row r="49" spans="1:57">
      <c r="A49">
        <v>1166</v>
      </c>
      <c r="B49" t="s">
        <v>1239</v>
      </c>
      <c r="D49" t="s">
        <v>66</v>
      </c>
      <c r="E49" t="s">
        <v>1240</v>
      </c>
      <c r="F49" t="s">
        <v>1241</v>
      </c>
      <c r="G49">
        <v>132</v>
      </c>
      <c r="H49" t="s">
        <v>63</v>
      </c>
      <c r="I49">
        <v>5</v>
      </c>
      <c r="J49" t="str">
        <f>HYPERLINK("Gene1166-zp_tree_all.dnd", "Gene1166-tree")</f>
        <v>Gene1166-tree</v>
      </c>
      <c r="K49">
        <v>5</v>
      </c>
      <c r="L49">
        <v>0</v>
      </c>
      <c r="M49">
        <v>5</v>
      </c>
      <c r="N49">
        <v>0</v>
      </c>
      <c r="O49">
        <v>0</v>
      </c>
      <c r="P49" t="s">
        <v>96</v>
      </c>
      <c r="Q49" t="s">
        <v>66</v>
      </c>
      <c r="R49" t="s">
        <v>66</v>
      </c>
      <c r="S49" t="s">
        <v>66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</v>
      </c>
      <c r="AI49">
        <v>2</v>
      </c>
      <c r="AJ49">
        <v>3</v>
      </c>
      <c r="AK49">
        <v>0</v>
      </c>
      <c r="AL49">
        <v>9</v>
      </c>
      <c r="AM49">
        <v>1</v>
      </c>
      <c r="AN49" t="s">
        <v>68</v>
      </c>
      <c r="AO49" t="s">
        <v>1242</v>
      </c>
      <c r="AP49">
        <v>0.872</v>
      </c>
      <c r="AQ49" t="s">
        <v>69</v>
      </c>
      <c r="AR49">
        <v>12</v>
      </c>
      <c r="AS49">
        <v>1</v>
      </c>
      <c r="AT49">
        <v>1.7170000000000001E-2</v>
      </c>
      <c r="AU49">
        <v>-3.3500000000000001E-3</v>
      </c>
      <c r="AV49">
        <v>7.3910000000000003E-2</v>
      </c>
      <c r="AW49">
        <v>-1.426E-2</v>
      </c>
      <c r="AX49">
        <v>1.9599999999999999E-3</v>
      </c>
      <c r="AY49">
        <v>-4.6999999999999999E-4</v>
      </c>
      <c r="AZ49">
        <v>2.656E-2</v>
      </c>
      <c r="BA49">
        <v>1</v>
      </c>
      <c r="BB49" t="s">
        <v>70</v>
      </c>
      <c r="BC49">
        <v>1.306</v>
      </c>
      <c r="BD49">
        <v>1.306</v>
      </c>
      <c r="BE49" t="s">
        <v>139</v>
      </c>
    </row>
    <row r="50" spans="1:57">
      <c r="A50">
        <v>1171</v>
      </c>
      <c r="B50" t="s">
        <v>1251</v>
      </c>
      <c r="D50" t="s">
        <v>60</v>
      </c>
      <c r="E50" t="s">
        <v>1252</v>
      </c>
      <c r="F50" t="s">
        <v>1253</v>
      </c>
      <c r="G50">
        <v>266</v>
      </c>
      <c r="H50" t="s">
        <v>85</v>
      </c>
      <c r="I50">
        <v>4</v>
      </c>
      <c r="J50" t="str">
        <f>HYPERLINK("Gene1171-zp_tree_all.dnd", "Gene1171-tree")</f>
        <v>Gene1171-tree</v>
      </c>
      <c r="K50">
        <v>3</v>
      </c>
      <c r="L50">
        <v>1</v>
      </c>
      <c r="M50">
        <v>3</v>
      </c>
      <c r="N50">
        <v>1</v>
      </c>
      <c r="O50">
        <v>0.25</v>
      </c>
      <c r="P50" t="s">
        <v>86</v>
      </c>
      <c r="Q50" t="s">
        <v>65</v>
      </c>
      <c r="R50" t="s">
        <v>66</v>
      </c>
      <c r="S50" t="s">
        <v>66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4</v>
      </c>
      <c r="AI50">
        <v>0</v>
      </c>
      <c r="AJ50">
        <v>44</v>
      </c>
      <c r="AK50">
        <v>1</v>
      </c>
      <c r="AL50">
        <v>0</v>
      </c>
      <c r="AM50">
        <v>0</v>
      </c>
      <c r="AN50" t="s">
        <v>1254</v>
      </c>
      <c r="AO50" t="s">
        <v>68</v>
      </c>
      <c r="AP50">
        <v>0.41199999999999998</v>
      </c>
      <c r="AQ50" t="s">
        <v>69</v>
      </c>
      <c r="AR50">
        <v>44</v>
      </c>
      <c r="AS50">
        <v>1</v>
      </c>
      <c r="AT50">
        <v>2.8199999999999999E-2</v>
      </c>
      <c r="AU50">
        <v>-8.8299999999999993E-3</v>
      </c>
      <c r="AV50">
        <v>0.13721</v>
      </c>
      <c r="AW50">
        <v>-4.4240000000000002E-2</v>
      </c>
      <c r="AX50">
        <v>8.1999999999999998E-4</v>
      </c>
      <c r="AY50">
        <v>-3.3E-4</v>
      </c>
      <c r="AZ50">
        <v>5.9500000000000004E-3</v>
      </c>
      <c r="BA50">
        <v>1</v>
      </c>
      <c r="BB50" t="s">
        <v>70</v>
      </c>
      <c r="BC50">
        <v>-0.86599999999999999</v>
      </c>
      <c r="BD50">
        <v>-0.86599999999999999</v>
      </c>
      <c r="BE50" t="s">
        <v>139</v>
      </c>
    </row>
    <row r="51" spans="1:57">
      <c r="A51">
        <v>1220</v>
      </c>
      <c r="B51" t="s">
        <v>1261</v>
      </c>
      <c r="D51" t="s">
        <v>66</v>
      </c>
      <c r="E51" t="s">
        <v>1262</v>
      </c>
      <c r="F51" t="s">
        <v>74</v>
      </c>
      <c r="G51">
        <v>64</v>
      </c>
      <c r="H51" t="s">
        <v>85</v>
      </c>
      <c r="I51">
        <v>4</v>
      </c>
      <c r="J51" t="str">
        <f>HYPERLINK("Gene1220-zp_tree_all.dnd", "Gene1220-tree")</f>
        <v>Gene1220-tree</v>
      </c>
      <c r="K51">
        <v>3</v>
      </c>
      <c r="L51">
        <v>1</v>
      </c>
      <c r="M51">
        <v>3</v>
      </c>
      <c r="N51">
        <v>1</v>
      </c>
      <c r="O51">
        <v>0.25</v>
      </c>
      <c r="P51" t="s">
        <v>86</v>
      </c>
      <c r="Q51" t="s">
        <v>65</v>
      </c>
      <c r="R51" t="s">
        <v>66</v>
      </c>
      <c r="S51" t="s">
        <v>66</v>
      </c>
      <c r="T51">
        <v>0</v>
      </c>
      <c r="U51">
        <v>0</v>
      </c>
      <c r="V51">
        <v>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</v>
      </c>
      <c r="AG51">
        <v>0</v>
      </c>
      <c r="AH51">
        <v>3</v>
      </c>
      <c r="AI51">
        <v>0</v>
      </c>
      <c r="AJ51">
        <v>8</v>
      </c>
      <c r="AK51">
        <v>3</v>
      </c>
      <c r="AL51">
        <v>0</v>
      </c>
      <c r="AM51">
        <v>0</v>
      </c>
      <c r="AN51" t="s">
        <v>1263</v>
      </c>
      <c r="AO51" t="s">
        <v>68</v>
      </c>
      <c r="AP51">
        <v>0.60799999999999998</v>
      </c>
      <c r="AQ51" t="s">
        <v>69</v>
      </c>
      <c r="AR51">
        <v>8</v>
      </c>
      <c r="AS51">
        <v>3</v>
      </c>
      <c r="AT51">
        <v>2.8649999999999998E-2</v>
      </c>
      <c r="AU51">
        <v>-8.9200000000000008E-3</v>
      </c>
      <c r="AV51">
        <v>0.11247</v>
      </c>
      <c r="AW51">
        <v>-3.2340000000000001E-2</v>
      </c>
      <c r="AX51">
        <v>9.9799999999999993E-3</v>
      </c>
      <c r="AY51">
        <v>-4.0699999999999998E-3</v>
      </c>
      <c r="AZ51">
        <v>8.8719999999999993E-2</v>
      </c>
      <c r="BA51">
        <v>0.99</v>
      </c>
      <c r="BB51" t="s">
        <v>70</v>
      </c>
      <c r="BC51">
        <v>-0.83699999999999997</v>
      </c>
      <c r="BD51">
        <v>-0.83699999999999997</v>
      </c>
      <c r="BE51" t="s">
        <v>139</v>
      </c>
    </row>
    <row r="52" spans="1:57">
      <c r="A52">
        <v>1225</v>
      </c>
      <c r="B52" t="s">
        <v>1264</v>
      </c>
      <c r="D52" t="s">
        <v>66</v>
      </c>
      <c r="E52" t="s">
        <v>1265</v>
      </c>
      <c r="F52" t="s">
        <v>74</v>
      </c>
      <c r="G52">
        <v>157</v>
      </c>
      <c r="H52" t="s">
        <v>85</v>
      </c>
      <c r="I52">
        <v>4</v>
      </c>
      <c r="J52" t="str">
        <f>HYPERLINK("Gene1225-zp_tree_all.dnd", "Gene1225-tree")</f>
        <v>Gene1225-tree</v>
      </c>
      <c r="K52">
        <v>2</v>
      </c>
      <c r="L52">
        <v>2</v>
      </c>
      <c r="M52">
        <v>2</v>
      </c>
      <c r="N52">
        <v>2</v>
      </c>
      <c r="O52">
        <v>0.5</v>
      </c>
      <c r="P52" t="s">
        <v>124</v>
      </c>
      <c r="Q52" t="s">
        <v>124</v>
      </c>
      <c r="R52" t="s">
        <v>66</v>
      </c>
      <c r="S52" t="s">
        <v>66</v>
      </c>
      <c r="T52">
        <v>0</v>
      </c>
      <c r="U52">
        <v>0</v>
      </c>
      <c r="V52">
        <v>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8</v>
      </c>
      <c r="AG52">
        <v>0</v>
      </c>
      <c r="AH52">
        <v>4</v>
      </c>
      <c r="AI52">
        <v>1</v>
      </c>
      <c r="AJ52">
        <v>17</v>
      </c>
      <c r="AK52">
        <v>6</v>
      </c>
      <c r="AL52">
        <v>1</v>
      </c>
      <c r="AM52">
        <v>2</v>
      </c>
      <c r="AN52" t="s">
        <v>1266</v>
      </c>
      <c r="AO52" t="s">
        <v>1267</v>
      </c>
      <c r="AP52">
        <v>6.5359999999999996</v>
      </c>
      <c r="AQ52" t="s">
        <v>69</v>
      </c>
      <c r="AR52">
        <v>18</v>
      </c>
      <c r="AS52">
        <v>8</v>
      </c>
      <c r="AT52">
        <v>2.8129999999999999E-2</v>
      </c>
      <c r="AU52">
        <v>-4.4900000000000001E-3</v>
      </c>
      <c r="AV52">
        <v>8.4199999999999997E-2</v>
      </c>
      <c r="AW52">
        <v>-1.473E-2</v>
      </c>
      <c r="AX52">
        <v>1.2290000000000001E-2</v>
      </c>
      <c r="AY52">
        <v>-2.2799999999999999E-3</v>
      </c>
      <c r="AZ52">
        <v>0.14599999999999999</v>
      </c>
      <c r="BA52">
        <v>1</v>
      </c>
      <c r="BB52" t="s">
        <v>70</v>
      </c>
      <c r="BC52">
        <v>-0.35499999999999998</v>
      </c>
      <c r="BD52">
        <v>-0.35499999999999998</v>
      </c>
      <c r="BE52" t="s">
        <v>139</v>
      </c>
    </row>
    <row r="53" spans="1:57">
      <c r="A53">
        <v>1234</v>
      </c>
      <c r="B53" t="s">
        <v>1268</v>
      </c>
      <c r="D53" t="s">
        <v>66</v>
      </c>
      <c r="E53" t="s">
        <v>1269</v>
      </c>
      <c r="F53" t="s">
        <v>74</v>
      </c>
      <c r="G53">
        <v>92</v>
      </c>
      <c r="H53" t="s">
        <v>85</v>
      </c>
      <c r="I53">
        <v>4</v>
      </c>
      <c r="J53" t="str">
        <f>HYPERLINK("Gene1234-zp_tree_all.dnd", "Gene1234-tree")</f>
        <v>Gene1234-tree</v>
      </c>
      <c r="K53">
        <v>2</v>
      </c>
      <c r="L53">
        <v>2</v>
      </c>
      <c r="M53">
        <v>2</v>
      </c>
      <c r="N53">
        <v>2</v>
      </c>
      <c r="O53">
        <v>0.5</v>
      </c>
      <c r="P53" t="s">
        <v>124</v>
      </c>
      <c r="Q53" t="s">
        <v>124</v>
      </c>
      <c r="R53" t="s">
        <v>66</v>
      </c>
      <c r="S53" t="s">
        <v>66</v>
      </c>
      <c r="T53">
        <v>0</v>
      </c>
      <c r="U53">
        <v>0</v>
      </c>
      <c r="V53">
        <v>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5</v>
      </c>
      <c r="AG53">
        <v>0</v>
      </c>
      <c r="AH53">
        <v>4</v>
      </c>
      <c r="AI53">
        <v>1</v>
      </c>
      <c r="AJ53">
        <v>11</v>
      </c>
      <c r="AK53">
        <v>4</v>
      </c>
      <c r="AL53">
        <v>3</v>
      </c>
      <c r="AM53">
        <v>1</v>
      </c>
      <c r="AN53" t="s">
        <v>1270</v>
      </c>
      <c r="AO53" t="s">
        <v>1271</v>
      </c>
      <c r="AP53">
        <v>7.2999999999999995E-2</v>
      </c>
      <c r="AQ53" t="s">
        <v>69</v>
      </c>
      <c r="AR53">
        <v>14</v>
      </c>
      <c r="AS53">
        <v>5</v>
      </c>
      <c r="AT53">
        <v>3.8510000000000003E-2</v>
      </c>
      <c r="AU53">
        <v>-5.1599999999999997E-3</v>
      </c>
      <c r="AV53">
        <v>0.1358</v>
      </c>
      <c r="AW53">
        <v>-1.8689999999999998E-2</v>
      </c>
      <c r="AX53">
        <v>1.4760000000000001E-2</v>
      </c>
      <c r="AY53">
        <v>-2.8400000000000001E-3</v>
      </c>
      <c r="AZ53">
        <v>0.10867</v>
      </c>
      <c r="BA53">
        <v>1</v>
      </c>
      <c r="BB53" t="s">
        <v>70</v>
      </c>
      <c r="BC53">
        <v>-0.19500000000000001</v>
      </c>
      <c r="BD53">
        <v>-0.19500000000000001</v>
      </c>
      <c r="BE53" t="s">
        <v>139</v>
      </c>
    </row>
    <row r="54" spans="1:57">
      <c r="A54">
        <v>1237</v>
      </c>
      <c r="B54" t="s">
        <v>1272</v>
      </c>
      <c r="D54" t="s">
        <v>66</v>
      </c>
      <c r="E54" t="s">
        <v>1273</v>
      </c>
      <c r="F54" t="s">
        <v>74</v>
      </c>
      <c r="G54">
        <v>62</v>
      </c>
      <c r="H54" t="s">
        <v>85</v>
      </c>
      <c r="I54">
        <v>4</v>
      </c>
      <c r="J54" t="str">
        <f>HYPERLINK("Gene1237-zp_tree_all.dnd", "Gene1237-tree")</f>
        <v>Gene1237-tree</v>
      </c>
      <c r="K54">
        <v>2</v>
      </c>
      <c r="L54">
        <v>2</v>
      </c>
      <c r="M54">
        <v>2</v>
      </c>
      <c r="N54">
        <v>2</v>
      </c>
      <c r="O54">
        <v>0.5</v>
      </c>
      <c r="P54" t="s">
        <v>124</v>
      </c>
      <c r="Q54" t="s">
        <v>124</v>
      </c>
      <c r="R54" t="s">
        <v>66</v>
      </c>
      <c r="S54" t="s">
        <v>66</v>
      </c>
      <c r="T54">
        <v>0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0</v>
      </c>
      <c r="AH54">
        <v>3</v>
      </c>
      <c r="AI54">
        <v>1</v>
      </c>
      <c r="AJ54">
        <v>3</v>
      </c>
      <c r="AK54">
        <v>2</v>
      </c>
      <c r="AL54">
        <v>1</v>
      </c>
      <c r="AM54">
        <v>0</v>
      </c>
      <c r="AN54" t="s">
        <v>1274</v>
      </c>
      <c r="AO54" t="s">
        <v>68</v>
      </c>
      <c r="AP54">
        <v>1.474</v>
      </c>
      <c r="AQ54" t="s">
        <v>69</v>
      </c>
      <c r="AR54">
        <v>4</v>
      </c>
      <c r="AS54">
        <v>2</v>
      </c>
      <c r="AT54">
        <v>1.703E-2</v>
      </c>
      <c r="AU54">
        <v>-2.3400000000000001E-3</v>
      </c>
      <c r="AV54">
        <v>5.9110000000000003E-2</v>
      </c>
      <c r="AW54">
        <v>-1.2370000000000001E-2</v>
      </c>
      <c r="AX54">
        <v>6.8199999999999997E-3</v>
      </c>
      <c r="AY54">
        <v>-1.6100000000000001E-3</v>
      </c>
      <c r="AZ54">
        <v>0.1154</v>
      </c>
      <c r="BA54">
        <v>0.94899999999999995</v>
      </c>
      <c r="BB54" t="s">
        <v>188</v>
      </c>
      <c r="BC54">
        <v>-0.314</v>
      </c>
      <c r="BD54">
        <v>-0.314</v>
      </c>
      <c r="BE54" t="s">
        <v>139</v>
      </c>
    </row>
    <row r="55" spans="1:57">
      <c r="A55">
        <v>1244</v>
      </c>
      <c r="B55" t="s">
        <v>1279</v>
      </c>
      <c r="D55" t="s">
        <v>60</v>
      </c>
      <c r="E55" t="s">
        <v>1280</v>
      </c>
      <c r="F55" t="s">
        <v>1281</v>
      </c>
      <c r="G55">
        <v>392</v>
      </c>
      <c r="H55" t="s">
        <v>63</v>
      </c>
      <c r="I55">
        <v>5</v>
      </c>
      <c r="J55" t="str">
        <f>HYPERLINK("Gene1244-zp_tree_all.dnd", "Gene1244-tree")</f>
        <v>Gene1244-tree</v>
      </c>
      <c r="K55">
        <v>3</v>
      </c>
      <c r="L55">
        <v>2</v>
      </c>
      <c r="M55">
        <v>3</v>
      </c>
      <c r="N55">
        <v>2</v>
      </c>
      <c r="O55">
        <v>0.4</v>
      </c>
      <c r="P55" t="s">
        <v>86</v>
      </c>
      <c r="Q55" t="s">
        <v>124</v>
      </c>
      <c r="R55" t="s">
        <v>66</v>
      </c>
      <c r="S55" t="s">
        <v>66</v>
      </c>
      <c r="T55">
        <v>0</v>
      </c>
      <c r="U55">
        <v>0</v>
      </c>
      <c r="V55">
        <v>4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0</v>
      </c>
      <c r="AF55">
        <v>2</v>
      </c>
      <c r="AG55">
        <v>0</v>
      </c>
      <c r="AH55">
        <v>5</v>
      </c>
      <c r="AI55">
        <v>2</v>
      </c>
      <c r="AJ55">
        <v>33</v>
      </c>
      <c r="AK55">
        <v>2</v>
      </c>
      <c r="AL55">
        <v>20</v>
      </c>
      <c r="AM55">
        <v>2</v>
      </c>
      <c r="AN55" t="s">
        <v>1282</v>
      </c>
      <c r="AO55" t="s">
        <v>1283</v>
      </c>
      <c r="AP55">
        <v>0.38300000000000001</v>
      </c>
      <c r="AQ55" t="s">
        <v>69</v>
      </c>
      <c r="AR55">
        <v>53</v>
      </c>
      <c r="AS55">
        <v>4</v>
      </c>
      <c r="AT55">
        <v>2.1770000000000001E-2</v>
      </c>
      <c r="AU55">
        <v>-2.3E-3</v>
      </c>
      <c r="AV55">
        <v>8.5620000000000002E-2</v>
      </c>
      <c r="AW55">
        <v>-9.41E-3</v>
      </c>
      <c r="AX55">
        <v>2.2699999999999999E-3</v>
      </c>
      <c r="AY55">
        <v>-4.2999999999999999E-4</v>
      </c>
      <c r="AZ55">
        <v>2.6530000000000001E-2</v>
      </c>
      <c r="BA55">
        <v>1</v>
      </c>
      <c r="BB55" t="s">
        <v>70</v>
      </c>
      <c r="BC55">
        <v>4.7E-2</v>
      </c>
      <c r="BD55">
        <v>4.7E-2</v>
      </c>
      <c r="BE55" t="s">
        <v>139</v>
      </c>
    </row>
    <row r="56" spans="1:57">
      <c r="A56">
        <v>1255</v>
      </c>
      <c r="B56" t="s">
        <v>1289</v>
      </c>
      <c r="D56" t="s">
        <v>66</v>
      </c>
      <c r="E56" t="s">
        <v>1290</v>
      </c>
      <c r="F56" t="s">
        <v>74</v>
      </c>
      <c r="G56">
        <v>254</v>
      </c>
      <c r="H56" t="s">
        <v>85</v>
      </c>
      <c r="I56">
        <v>4</v>
      </c>
      <c r="J56" t="str">
        <f>HYPERLINK("Gene1255-zp_tree_all.dnd", "Gene1255-tree")</f>
        <v>Gene1255-tree</v>
      </c>
      <c r="K56">
        <v>2</v>
      </c>
      <c r="L56">
        <v>2</v>
      </c>
      <c r="M56">
        <v>2</v>
      </c>
      <c r="N56">
        <v>2</v>
      </c>
      <c r="O56">
        <v>0.5</v>
      </c>
      <c r="P56" t="s">
        <v>124</v>
      </c>
      <c r="Q56" t="s">
        <v>124</v>
      </c>
      <c r="R56" t="s">
        <v>66</v>
      </c>
      <c r="S56" t="s">
        <v>66</v>
      </c>
      <c r="T56">
        <v>0</v>
      </c>
      <c r="U56">
        <v>0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</v>
      </c>
      <c r="AG56">
        <v>0</v>
      </c>
      <c r="AH56">
        <v>4</v>
      </c>
      <c r="AI56">
        <v>1</v>
      </c>
      <c r="AJ56">
        <v>42</v>
      </c>
      <c r="AK56">
        <v>2</v>
      </c>
      <c r="AL56">
        <v>2</v>
      </c>
      <c r="AM56">
        <v>0</v>
      </c>
      <c r="AN56" t="s">
        <v>1291</v>
      </c>
      <c r="AO56" t="s">
        <v>68</v>
      </c>
      <c r="AP56">
        <v>0.75700000000000001</v>
      </c>
      <c r="AQ56" t="s">
        <v>69</v>
      </c>
      <c r="AR56">
        <v>44</v>
      </c>
      <c r="AS56">
        <v>2</v>
      </c>
      <c r="AT56">
        <v>2.9860000000000001E-2</v>
      </c>
      <c r="AU56">
        <v>-8.2699999999999996E-3</v>
      </c>
      <c r="AV56">
        <v>0.12955</v>
      </c>
      <c r="AW56">
        <v>-3.8289999999999998E-2</v>
      </c>
      <c r="AX56">
        <v>1.7600000000000001E-3</v>
      </c>
      <c r="AY56">
        <v>-4.2000000000000002E-4</v>
      </c>
      <c r="AZ56">
        <v>1.359E-2</v>
      </c>
      <c r="BA56">
        <v>1</v>
      </c>
      <c r="BB56" t="s">
        <v>70</v>
      </c>
      <c r="BC56">
        <v>-0.57699999999999996</v>
      </c>
      <c r="BD56">
        <v>-0.57699999999999996</v>
      </c>
      <c r="BE56" t="s">
        <v>139</v>
      </c>
    </row>
    <row r="57" spans="1:57">
      <c r="A57">
        <v>1256</v>
      </c>
      <c r="B57" t="s">
        <v>1292</v>
      </c>
      <c r="D57" t="s">
        <v>66</v>
      </c>
      <c r="E57" t="s">
        <v>1293</v>
      </c>
      <c r="F57" t="s">
        <v>74</v>
      </c>
      <c r="G57">
        <v>154</v>
      </c>
      <c r="H57" t="s">
        <v>63</v>
      </c>
      <c r="I57">
        <v>5</v>
      </c>
      <c r="J57" t="str">
        <f>HYPERLINK("Gene1256-zp_tree_all.dnd", "Gene1256-tree")</f>
        <v>Gene1256-tree</v>
      </c>
      <c r="K57">
        <v>3</v>
      </c>
      <c r="L57">
        <v>2</v>
      </c>
      <c r="M57">
        <v>3</v>
      </c>
      <c r="N57">
        <v>2</v>
      </c>
      <c r="O57">
        <v>0.4</v>
      </c>
      <c r="P57" t="s">
        <v>86</v>
      </c>
      <c r="Q57" t="s">
        <v>124</v>
      </c>
      <c r="R57" t="s">
        <v>66</v>
      </c>
      <c r="S57" t="s">
        <v>66</v>
      </c>
      <c r="T57">
        <v>1</v>
      </c>
      <c r="U57">
        <v>2</v>
      </c>
      <c r="V57">
        <v>7</v>
      </c>
      <c r="W57">
        <v>0.22222</v>
      </c>
      <c r="X57">
        <v>0</v>
      </c>
      <c r="Y57">
        <v>0</v>
      </c>
      <c r="Z57">
        <v>0</v>
      </c>
      <c r="AA57">
        <v>4</v>
      </c>
      <c r="AB57">
        <v>0</v>
      </c>
      <c r="AC57">
        <v>0</v>
      </c>
      <c r="AD57">
        <v>2</v>
      </c>
      <c r="AE57">
        <v>2</v>
      </c>
      <c r="AF57">
        <v>3</v>
      </c>
      <c r="AG57">
        <v>0.4</v>
      </c>
      <c r="AH57">
        <v>4</v>
      </c>
      <c r="AI57">
        <v>2</v>
      </c>
      <c r="AJ57">
        <v>12</v>
      </c>
      <c r="AK57">
        <v>5</v>
      </c>
      <c r="AL57">
        <v>10</v>
      </c>
      <c r="AM57">
        <v>4</v>
      </c>
      <c r="AN57" t="s">
        <v>1294</v>
      </c>
      <c r="AO57" t="s">
        <v>1295</v>
      </c>
      <c r="AP57">
        <v>0.05</v>
      </c>
      <c r="AQ57" t="s">
        <v>69</v>
      </c>
      <c r="AR57">
        <v>22</v>
      </c>
      <c r="AS57">
        <v>9</v>
      </c>
      <c r="AT57">
        <v>3.202E-2</v>
      </c>
      <c r="AU57">
        <v>-4.7699999999999999E-3</v>
      </c>
      <c r="AV57">
        <v>0.11002000000000001</v>
      </c>
      <c r="AW57">
        <v>-1.7250000000000001E-2</v>
      </c>
      <c r="AX57">
        <v>1.255E-2</v>
      </c>
      <c r="AY57">
        <v>-2.2699999999999999E-3</v>
      </c>
      <c r="AZ57">
        <v>0.11404</v>
      </c>
      <c r="BA57">
        <v>1</v>
      </c>
      <c r="BB57" t="s">
        <v>70</v>
      </c>
      <c r="BC57">
        <v>0.39200000000000002</v>
      </c>
      <c r="BD57">
        <v>-0.20799999999999999</v>
      </c>
      <c r="BE57" t="s">
        <v>139</v>
      </c>
    </row>
    <row r="58" spans="1:57">
      <c r="A58">
        <v>1303</v>
      </c>
      <c r="B58" t="s">
        <v>1320</v>
      </c>
      <c r="D58" t="s">
        <v>66</v>
      </c>
      <c r="E58" t="s">
        <v>1321</v>
      </c>
      <c r="F58" t="s">
        <v>1322</v>
      </c>
      <c r="G58">
        <v>56</v>
      </c>
      <c r="H58" t="s">
        <v>63</v>
      </c>
      <c r="I58">
        <v>5</v>
      </c>
      <c r="J58" t="str">
        <f>HYPERLINK("Gene1303-zp_tree_all.dnd", "Gene1303-tree")</f>
        <v>Gene1303-tree</v>
      </c>
      <c r="K58">
        <v>1</v>
      </c>
      <c r="L58">
        <v>4</v>
      </c>
      <c r="M58">
        <v>1</v>
      </c>
      <c r="N58">
        <v>3</v>
      </c>
      <c r="O58">
        <v>0.75</v>
      </c>
      <c r="P58" t="s">
        <v>65</v>
      </c>
      <c r="Q58" t="s">
        <v>112</v>
      </c>
      <c r="R58">
        <v>5</v>
      </c>
      <c r="S58" t="s">
        <v>239</v>
      </c>
      <c r="T58">
        <v>0</v>
      </c>
      <c r="U58">
        <v>0</v>
      </c>
      <c r="V58">
        <v>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</v>
      </c>
      <c r="AG58">
        <v>0</v>
      </c>
      <c r="AH58">
        <v>3</v>
      </c>
      <c r="AI58">
        <v>1</v>
      </c>
      <c r="AJ58">
        <v>7</v>
      </c>
      <c r="AK58">
        <v>2</v>
      </c>
      <c r="AL58">
        <v>3</v>
      </c>
      <c r="AM58">
        <v>1</v>
      </c>
      <c r="AN58" t="s">
        <v>1323</v>
      </c>
      <c r="AO58" t="s">
        <v>1324</v>
      </c>
      <c r="AP58">
        <v>0.41399999999999998</v>
      </c>
      <c r="AQ58" t="s">
        <v>69</v>
      </c>
      <c r="AR58">
        <v>10</v>
      </c>
      <c r="AS58">
        <v>3</v>
      </c>
      <c r="AT58">
        <v>4.2659999999999997E-2</v>
      </c>
      <c r="AU58">
        <v>-6.1799999999999997E-3</v>
      </c>
      <c r="AV58">
        <v>0.15833</v>
      </c>
      <c r="AW58">
        <v>-2.5219999999999999E-2</v>
      </c>
      <c r="AX58">
        <v>1.545E-2</v>
      </c>
      <c r="AY58">
        <v>-3.6800000000000001E-3</v>
      </c>
      <c r="AZ58">
        <v>9.758E-2</v>
      </c>
      <c r="BA58">
        <v>1</v>
      </c>
      <c r="BB58" t="s">
        <v>70</v>
      </c>
      <c r="BC58">
        <v>-0.27900000000000003</v>
      </c>
      <c r="BD58">
        <v>-0.27900000000000003</v>
      </c>
      <c r="BE58" t="s">
        <v>139</v>
      </c>
    </row>
    <row r="59" spans="1:57">
      <c r="A59">
        <v>1306</v>
      </c>
      <c r="B59" t="s">
        <v>1325</v>
      </c>
      <c r="D59" t="s">
        <v>66</v>
      </c>
      <c r="E59" t="s">
        <v>1326</v>
      </c>
      <c r="F59" t="s">
        <v>74</v>
      </c>
      <c r="G59">
        <v>205</v>
      </c>
      <c r="H59" t="s">
        <v>106</v>
      </c>
      <c r="I59">
        <v>4</v>
      </c>
      <c r="J59" t="str">
        <f>HYPERLINK("Gene1306-zp_tree_all.dnd", "Gene1306-tree")</f>
        <v>Gene1306-tree</v>
      </c>
      <c r="K59">
        <v>4</v>
      </c>
      <c r="L59">
        <v>0</v>
      </c>
      <c r="M59">
        <v>4</v>
      </c>
      <c r="N59">
        <v>0</v>
      </c>
      <c r="O59">
        <v>0</v>
      </c>
      <c r="P59" t="s">
        <v>64</v>
      </c>
      <c r="Q59" t="s">
        <v>66</v>
      </c>
      <c r="R59" t="s">
        <v>66</v>
      </c>
      <c r="S59" t="s">
        <v>66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4</v>
      </c>
      <c r="AI59">
        <v>1</v>
      </c>
      <c r="AJ59">
        <v>31</v>
      </c>
      <c r="AK59">
        <v>0</v>
      </c>
      <c r="AL59">
        <v>1</v>
      </c>
      <c r="AM59">
        <v>0</v>
      </c>
      <c r="AN59" t="s">
        <v>68</v>
      </c>
      <c r="AO59" t="s">
        <v>68</v>
      </c>
      <c r="AP59">
        <v>0</v>
      </c>
      <c r="AQ59" t="s">
        <v>69</v>
      </c>
      <c r="AR59">
        <v>32</v>
      </c>
      <c r="AS59">
        <v>0</v>
      </c>
      <c r="AT59">
        <v>2.5749999999999999E-2</v>
      </c>
      <c r="AU59">
        <v>-6.5599999999999999E-3</v>
      </c>
      <c r="AV59">
        <v>0.14574000000000001</v>
      </c>
      <c r="AW59">
        <v>-3.9379999999999998E-2</v>
      </c>
      <c r="AX59">
        <v>0</v>
      </c>
      <c r="AY59">
        <v>0</v>
      </c>
      <c r="AZ59">
        <v>0</v>
      </c>
      <c r="BA59">
        <v>1</v>
      </c>
      <c r="BB59" t="s">
        <v>70</v>
      </c>
      <c r="BC59">
        <v>-0.65800000000000003</v>
      </c>
      <c r="BD59">
        <v>-0.65800000000000003</v>
      </c>
      <c r="BE59" t="s">
        <v>139</v>
      </c>
    </row>
    <row r="60" spans="1:57">
      <c r="A60">
        <v>1353</v>
      </c>
      <c r="B60" t="s">
        <v>1343</v>
      </c>
      <c r="D60" t="s">
        <v>66</v>
      </c>
      <c r="E60" t="s">
        <v>1344</v>
      </c>
      <c r="F60" t="s">
        <v>940</v>
      </c>
      <c r="G60">
        <v>110</v>
      </c>
      <c r="H60" t="s">
        <v>63</v>
      </c>
      <c r="I60">
        <v>5</v>
      </c>
      <c r="J60" t="str">
        <f>HYPERLINK("Gene1353-zp_tree_all.dnd", "Gene1353-tree")</f>
        <v>Gene1353-tree</v>
      </c>
      <c r="K60">
        <v>4</v>
      </c>
      <c r="L60">
        <v>1</v>
      </c>
      <c r="M60">
        <v>4</v>
      </c>
      <c r="N60">
        <v>1</v>
      </c>
      <c r="O60">
        <v>0.2</v>
      </c>
      <c r="P60" t="s">
        <v>64</v>
      </c>
      <c r="Q60" t="s">
        <v>65</v>
      </c>
      <c r="R60" t="s">
        <v>66</v>
      </c>
      <c r="S60" t="s">
        <v>66</v>
      </c>
      <c r="T60">
        <v>0</v>
      </c>
      <c r="U60">
        <v>0</v>
      </c>
      <c r="V60">
        <v>2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4</v>
      </c>
      <c r="AI60">
        <v>1</v>
      </c>
      <c r="AJ60">
        <v>10</v>
      </c>
      <c r="AK60">
        <v>1</v>
      </c>
      <c r="AL60">
        <v>7</v>
      </c>
      <c r="AM60">
        <v>1</v>
      </c>
      <c r="AN60" t="s">
        <v>1345</v>
      </c>
      <c r="AO60" t="s">
        <v>1346</v>
      </c>
      <c r="AP60">
        <v>0.20899999999999999</v>
      </c>
      <c r="AQ60" t="s">
        <v>69</v>
      </c>
      <c r="AR60">
        <v>17</v>
      </c>
      <c r="AS60">
        <v>2</v>
      </c>
      <c r="AT60">
        <v>2.7879999999999999E-2</v>
      </c>
      <c r="AU60">
        <v>-5.4200000000000003E-3</v>
      </c>
      <c r="AV60">
        <v>0.12853000000000001</v>
      </c>
      <c r="AW60">
        <v>-2.5139999999999999E-2</v>
      </c>
      <c r="AX60">
        <v>3.8899999999999998E-3</v>
      </c>
      <c r="AY60">
        <v>-9.5E-4</v>
      </c>
      <c r="AZ60">
        <v>3.023E-2</v>
      </c>
      <c r="BA60">
        <v>1</v>
      </c>
      <c r="BB60" t="s">
        <v>70</v>
      </c>
      <c r="BC60">
        <v>6.5000000000000002E-2</v>
      </c>
      <c r="BD60">
        <v>6.5000000000000002E-2</v>
      </c>
      <c r="BE60" t="s">
        <v>139</v>
      </c>
    </row>
    <row r="61" spans="1:57">
      <c r="A61">
        <v>1369</v>
      </c>
      <c r="B61" t="s">
        <v>1358</v>
      </c>
      <c r="D61" t="s">
        <v>66</v>
      </c>
      <c r="E61" t="s">
        <v>1359</v>
      </c>
      <c r="F61" t="s">
        <v>1360</v>
      </c>
      <c r="G61">
        <v>64</v>
      </c>
      <c r="H61" t="s">
        <v>63</v>
      </c>
      <c r="I61">
        <v>5</v>
      </c>
      <c r="J61" t="str">
        <f>HYPERLINK("Gene1369-zp_tree_all.dnd", "Gene1369-tree")</f>
        <v>Gene1369-tree</v>
      </c>
      <c r="K61">
        <v>5</v>
      </c>
      <c r="L61">
        <v>0</v>
      </c>
      <c r="M61">
        <v>4</v>
      </c>
      <c r="N61">
        <v>0</v>
      </c>
      <c r="O61">
        <v>0</v>
      </c>
      <c r="P61" t="s">
        <v>135</v>
      </c>
      <c r="Q61" t="s">
        <v>66</v>
      </c>
      <c r="R61" t="s">
        <v>66</v>
      </c>
      <c r="S61" t="s">
        <v>66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3</v>
      </c>
      <c r="AI61">
        <v>1</v>
      </c>
      <c r="AJ61">
        <v>4</v>
      </c>
      <c r="AK61">
        <v>0</v>
      </c>
      <c r="AL61">
        <v>1</v>
      </c>
      <c r="AM61">
        <v>0</v>
      </c>
      <c r="AN61" t="s">
        <v>68</v>
      </c>
      <c r="AO61" t="s">
        <v>68</v>
      </c>
      <c r="AP61">
        <v>0</v>
      </c>
      <c r="AQ61" t="s">
        <v>69</v>
      </c>
      <c r="AR61">
        <v>5</v>
      </c>
      <c r="AS61">
        <v>0</v>
      </c>
      <c r="AT61">
        <v>1.389E-2</v>
      </c>
      <c r="AU61">
        <v>-2E-3</v>
      </c>
      <c r="AV61">
        <v>6.0659999999999999E-2</v>
      </c>
      <c r="AW61">
        <v>-9.0100000000000006E-3</v>
      </c>
      <c r="AX61">
        <v>0</v>
      </c>
      <c r="AY61">
        <v>0</v>
      </c>
      <c r="AZ61">
        <v>0</v>
      </c>
      <c r="BA61">
        <v>1</v>
      </c>
      <c r="BB61" t="s">
        <v>70</v>
      </c>
      <c r="BC61">
        <v>-0.56200000000000006</v>
      </c>
      <c r="BD61">
        <v>-0.56200000000000006</v>
      </c>
      <c r="BE61" t="s">
        <v>139</v>
      </c>
    </row>
    <row r="62" spans="1:57">
      <c r="A62">
        <v>1370</v>
      </c>
      <c r="B62" t="s">
        <v>1361</v>
      </c>
      <c r="D62" t="s">
        <v>66</v>
      </c>
      <c r="E62" t="s">
        <v>1362</v>
      </c>
      <c r="F62" t="s">
        <v>74</v>
      </c>
      <c r="G62">
        <v>233</v>
      </c>
      <c r="H62" t="s">
        <v>85</v>
      </c>
      <c r="I62">
        <v>4</v>
      </c>
      <c r="J62" t="str">
        <f>HYPERLINK("Gene1370-zp_tree_all.dnd", "Gene1370-tree")</f>
        <v>Gene1370-tree</v>
      </c>
      <c r="K62">
        <v>2</v>
      </c>
      <c r="L62">
        <v>2</v>
      </c>
      <c r="M62">
        <v>2</v>
      </c>
      <c r="N62">
        <v>2</v>
      </c>
      <c r="O62">
        <v>0.5</v>
      </c>
      <c r="P62" t="s">
        <v>124</v>
      </c>
      <c r="Q62" t="s">
        <v>124</v>
      </c>
      <c r="R62" t="s">
        <v>66</v>
      </c>
      <c r="S62" t="s">
        <v>66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8</v>
      </c>
      <c r="AG62">
        <v>0</v>
      </c>
      <c r="AH62">
        <v>4</v>
      </c>
      <c r="AI62">
        <v>1</v>
      </c>
      <c r="AJ62">
        <v>26</v>
      </c>
      <c r="AK62">
        <v>9</v>
      </c>
      <c r="AL62">
        <v>2</v>
      </c>
      <c r="AM62">
        <v>1</v>
      </c>
      <c r="AN62" t="s">
        <v>1363</v>
      </c>
      <c r="AO62" t="s">
        <v>1364</v>
      </c>
      <c r="AP62">
        <v>0.27300000000000002</v>
      </c>
      <c r="AQ62" t="s">
        <v>69</v>
      </c>
      <c r="AR62">
        <v>28</v>
      </c>
      <c r="AS62">
        <v>10</v>
      </c>
      <c r="AT62">
        <v>2.7779999999999999E-2</v>
      </c>
      <c r="AU62">
        <v>-7.9100000000000004E-3</v>
      </c>
      <c r="AV62">
        <v>9.9970000000000003E-2</v>
      </c>
      <c r="AW62">
        <v>-2.869E-2</v>
      </c>
      <c r="AX62">
        <v>9.6699999999999998E-3</v>
      </c>
      <c r="AY62">
        <v>-2.98E-3</v>
      </c>
      <c r="AZ62">
        <v>9.6710000000000004E-2</v>
      </c>
      <c r="BA62">
        <v>1</v>
      </c>
      <c r="BB62" t="s">
        <v>70</v>
      </c>
      <c r="BC62">
        <v>-0.436</v>
      </c>
      <c r="BD62">
        <v>-0.69299999999999995</v>
      </c>
      <c r="BE62" t="s">
        <v>139</v>
      </c>
    </row>
    <row r="63" spans="1:57">
      <c r="A63">
        <v>1389</v>
      </c>
      <c r="B63" t="s">
        <v>1368</v>
      </c>
      <c r="D63" t="s">
        <v>66</v>
      </c>
      <c r="E63" t="s">
        <v>1369</v>
      </c>
      <c r="F63" t="s">
        <v>1370</v>
      </c>
      <c r="G63">
        <v>506</v>
      </c>
      <c r="H63" t="s">
        <v>106</v>
      </c>
      <c r="I63">
        <v>4</v>
      </c>
      <c r="J63" t="str">
        <f>HYPERLINK("Gene1389-zp_tree_all.dnd", "Gene1389-tree")</f>
        <v>Gene1389-tree</v>
      </c>
      <c r="K63">
        <v>2</v>
      </c>
      <c r="L63">
        <v>2</v>
      </c>
      <c r="M63">
        <v>2</v>
      </c>
      <c r="N63">
        <v>2</v>
      </c>
      <c r="O63">
        <v>0.5</v>
      </c>
      <c r="P63" t="s">
        <v>124</v>
      </c>
      <c r="Q63" t="s">
        <v>124</v>
      </c>
      <c r="R63" t="s">
        <v>66</v>
      </c>
      <c r="S63" t="s">
        <v>66</v>
      </c>
      <c r="T63">
        <v>0</v>
      </c>
      <c r="U63">
        <v>0</v>
      </c>
      <c r="V63">
        <v>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9</v>
      </c>
      <c r="AG63">
        <v>0</v>
      </c>
      <c r="AH63">
        <v>4</v>
      </c>
      <c r="AI63">
        <v>1</v>
      </c>
      <c r="AJ63">
        <v>68</v>
      </c>
      <c r="AK63">
        <v>10</v>
      </c>
      <c r="AL63">
        <v>2</v>
      </c>
      <c r="AM63">
        <v>0</v>
      </c>
      <c r="AN63" t="s">
        <v>1371</v>
      </c>
      <c r="AO63" t="s">
        <v>68</v>
      </c>
      <c r="AP63">
        <v>0.61899999999999999</v>
      </c>
      <c r="AQ63" t="s">
        <v>69</v>
      </c>
      <c r="AR63">
        <v>70</v>
      </c>
      <c r="AS63">
        <v>10</v>
      </c>
      <c r="AT63">
        <v>2.613E-2</v>
      </c>
      <c r="AU63">
        <v>-7.28E-3</v>
      </c>
      <c r="AV63">
        <v>0.10954999999999999</v>
      </c>
      <c r="AW63">
        <v>-3.1309999999999998E-2</v>
      </c>
      <c r="AX63">
        <v>4.3099999999999996E-3</v>
      </c>
      <c r="AY63">
        <v>-1.33E-3</v>
      </c>
      <c r="AZ63">
        <v>3.9320000000000001E-2</v>
      </c>
      <c r="BA63">
        <v>1</v>
      </c>
      <c r="BB63" t="s">
        <v>70</v>
      </c>
      <c r="BC63">
        <v>-0.70699999999999996</v>
      </c>
      <c r="BD63">
        <v>-0.70699999999999996</v>
      </c>
      <c r="BE63" t="s">
        <v>139</v>
      </c>
    </row>
    <row r="64" spans="1:57">
      <c r="A64">
        <v>1391</v>
      </c>
      <c r="B64" t="s">
        <v>1375</v>
      </c>
      <c r="D64" t="s">
        <v>66</v>
      </c>
      <c r="E64" t="s">
        <v>1376</v>
      </c>
      <c r="F64" t="s">
        <v>1377</v>
      </c>
      <c r="G64">
        <v>261</v>
      </c>
      <c r="H64" t="s">
        <v>63</v>
      </c>
      <c r="I64">
        <v>5</v>
      </c>
      <c r="J64" t="str">
        <f>HYPERLINK("Gene1391-zp_tree_all.dnd", "Gene1391-tree")</f>
        <v>Gene1391-tree</v>
      </c>
      <c r="K64">
        <v>4</v>
      </c>
      <c r="L64">
        <v>1</v>
      </c>
      <c r="M64">
        <v>4</v>
      </c>
      <c r="N64">
        <v>1</v>
      </c>
      <c r="O64">
        <v>0.2</v>
      </c>
      <c r="P64" t="s">
        <v>64</v>
      </c>
      <c r="Q64" t="s">
        <v>65</v>
      </c>
      <c r="R64" t="s">
        <v>66</v>
      </c>
      <c r="S64" t="s">
        <v>66</v>
      </c>
      <c r="T64">
        <v>0</v>
      </c>
      <c r="U64">
        <v>0</v>
      </c>
      <c r="V64">
        <v>4</v>
      </c>
      <c r="W64">
        <v>0</v>
      </c>
      <c r="X64">
        <v>0</v>
      </c>
      <c r="Y64">
        <v>0</v>
      </c>
      <c r="Z64">
        <v>0</v>
      </c>
      <c r="AA64">
        <v>4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5</v>
      </c>
      <c r="AI64">
        <v>2</v>
      </c>
      <c r="AJ64">
        <v>14</v>
      </c>
      <c r="AK64">
        <v>1</v>
      </c>
      <c r="AL64">
        <v>27</v>
      </c>
      <c r="AM64">
        <v>4</v>
      </c>
      <c r="AN64" t="s">
        <v>1378</v>
      </c>
      <c r="AO64" t="s">
        <v>1379</v>
      </c>
      <c r="AP64">
        <v>0.28499999999999998</v>
      </c>
      <c r="AQ64" t="s">
        <v>69</v>
      </c>
      <c r="AR64">
        <v>41</v>
      </c>
      <c r="AS64">
        <v>5</v>
      </c>
      <c r="AT64">
        <v>3.1029999999999999E-2</v>
      </c>
      <c r="AU64">
        <v>-5.9800000000000001E-3</v>
      </c>
      <c r="AV64">
        <v>0.14849000000000001</v>
      </c>
      <c r="AW64">
        <v>-2.93E-2</v>
      </c>
      <c r="AX64">
        <v>4.5500000000000002E-3</v>
      </c>
      <c r="AY64">
        <v>-8.8999999999999995E-4</v>
      </c>
      <c r="AZ64">
        <v>3.0669999999999999E-2</v>
      </c>
      <c r="BA64">
        <v>1</v>
      </c>
      <c r="BB64" t="s">
        <v>70</v>
      </c>
      <c r="BC64">
        <v>0.94199999999999995</v>
      </c>
      <c r="BD64">
        <v>0.76700000000000002</v>
      </c>
      <c r="BE64" t="s">
        <v>139</v>
      </c>
    </row>
    <row r="65" spans="1:57">
      <c r="A65">
        <v>1392</v>
      </c>
      <c r="B65" t="s">
        <v>1380</v>
      </c>
      <c r="D65" t="s">
        <v>66</v>
      </c>
      <c r="E65" t="s">
        <v>1381</v>
      </c>
      <c r="F65" t="s">
        <v>1382</v>
      </c>
      <c r="G65">
        <v>270</v>
      </c>
      <c r="H65" t="s">
        <v>85</v>
      </c>
      <c r="I65">
        <v>4</v>
      </c>
      <c r="J65" t="str">
        <f>HYPERLINK("Gene1392-zp_tree_all.dnd", "Gene1392-tree")</f>
        <v>Gene1392-tree</v>
      </c>
      <c r="K65">
        <v>1</v>
      </c>
      <c r="L65">
        <v>3</v>
      </c>
      <c r="M65">
        <v>1</v>
      </c>
      <c r="N65">
        <v>3</v>
      </c>
      <c r="O65">
        <v>0.75</v>
      </c>
      <c r="P65" t="s">
        <v>65</v>
      </c>
      <c r="Q65" t="s">
        <v>86</v>
      </c>
      <c r="R65" t="s">
        <v>66</v>
      </c>
      <c r="S65" t="s">
        <v>66</v>
      </c>
      <c r="T65">
        <v>0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3</v>
      </c>
      <c r="AG65">
        <v>0</v>
      </c>
      <c r="AH65">
        <v>4</v>
      </c>
      <c r="AI65">
        <v>1</v>
      </c>
      <c r="AJ65">
        <v>40</v>
      </c>
      <c r="AK65">
        <v>3</v>
      </c>
      <c r="AL65">
        <v>3</v>
      </c>
      <c r="AM65">
        <v>0</v>
      </c>
      <c r="AN65" t="s">
        <v>1383</v>
      </c>
      <c r="AO65" t="s">
        <v>68</v>
      </c>
      <c r="AP65">
        <v>0.97</v>
      </c>
      <c r="AQ65" t="s">
        <v>69</v>
      </c>
      <c r="AR65">
        <v>43</v>
      </c>
      <c r="AS65">
        <v>3</v>
      </c>
      <c r="AT65">
        <v>2.7980000000000001E-2</v>
      </c>
      <c r="AU65">
        <v>-7.43E-3</v>
      </c>
      <c r="AV65">
        <v>0.12883</v>
      </c>
      <c r="AW65">
        <v>-3.7839999999999999E-2</v>
      </c>
      <c r="AX65">
        <v>2.4099999999999998E-3</v>
      </c>
      <c r="AY65">
        <v>-3.3E-4</v>
      </c>
      <c r="AZ65">
        <v>1.8700000000000001E-2</v>
      </c>
      <c r="BA65">
        <v>1</v>
      </c>
      <c r="BB65" t="s">
        <v>70</v>
      </c>
      <c r="BC65">
        <v>-0.34899999999999998</v>
      </c>
      <c r="BD65">
        <v>-0.79200000000000004</v>
      </c>
      <c r="BE65" t="s">
        <v>139</v>
      </c>
    </row>
    <row r="66" spans="1:57">
      <c r="A66">
        <v>1429</v>
      </c>
      <c r="B66" t="s">
        <v>1421</v>
      </c>
      <c r="D66" t="s">
        <v>66</v>
      </c>
      <c r="E66" t="s">
        <v>1422</v>
      </c>
      <c r="F66" t="s">
        <v>74</v>
      </c>
      <c r="G66">
        <v>154</v>
      </c>
      <c r="H66" t="s">
        <v>63</v>
      </c>
      <c r="I66">
        <v>5</v>
      </c>
      <c r="J66" t="str">
        <f>HYPERLINK("Gene1429-zp_tree_all.dnd", "Gene1429-tree")</f>
        <v>Gene1429-tree</v>
      </c>
      <c r="K66">
        <v>4</v>
      </c>
      <c r="L66">
        <v>1</v>
      </c>
      <c r="M66">
        <v>4</v>
      </c>
      <c r="N66">
        <v>1</v>
      </c>
      <c r="O66">
        <v>0.2</v>
      </c>
      <c r="P66" t="s">
        <v>64</v>
      </c>
      <c r="Q66" t="s">
        <v>65</v>
      </c>
      <c r="R66" t="s">
        <v>66</v>
      </c>
      <c r="S66" t="s">
        <v>66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3</v>
      </c>
      <c r="AI66">
        <v>2</v>
      </c>
      <c r="AJ66">
        <v>7</v>
      </c>
      <c r="AK66">
        <v>1</v>
      </c>
      <c r="AL66">
        <v>7</v>
      </c>
      <c r="AM66">
        <v>0</v>
      </c>
      <c r="AN66" t="s">
        <v>1423</v>
      </c>
      <c r="AO66" t="s">
        <v>68</v>
      </c>
      <c r="AP66">
        <v>0.64800000000000002</v>
      </c>
      <c r="AQ66" t="s">
        <v>69</v>
      </c>
      <c r="AR66">
        <v>14</v>
      </c>
      <c r="AS66">
        <v>1</v>
      </c>
      <c r="AT66">
        <v>1.602E-2</v>
      </c>
      <c r="AU66">
        <v>-2.7200000000000002E-3</v>
      </c>
      <c r="AV66">
        <v>7.1279999999999996E-2</v>
      </c>
      <c r="AW66">
        <v>-1.304E-2</v>
      </c>
      <c r="AX66">
        <v>1.1199999999999999E-3</v>
      </c>
      <c r="AY66">
        <v>-4.2999999999999999E-4</v>
      </c>
      <c r="AZ66">
        <v>1.5730000000000001E-2</v>
      </c>
      <c r="BA66">
        <v>1</v>
      </c>
      <c r="BB66" t="s">
        <v>70</v>
      </c>
      <c r="BC66">
        <v>0.20300000000000001</v>
      </c>
      <c r="BD66">
        <v>0.20300000000000001</v>
      </c>
      <c r="BE66" t="s">
        <v>139</v>
      </c>
    </row>
    <row r="67" spans="1:57">
      <c r="A67">
        <v>1431</v>
      </c>
      <c r="B67" t="s">
        <v>1424</v>
      </c>
      <c r="D67" t="s">
        <v>66</v>
      </c>
      <c r="E67" t="s">
        <v>1425</v>
      </c>
      <c r="F67" t="s">
        <v>1426</v>
      </c>
      <c r="G67">
        <v>164</v>
      </c>
      <c r="H67" t="s">
        <v>85</v>
      </c>
      <c r="I67">
        <v>4</v>
      </c>
      <c r="J67" t="str">
        <f>HYPERLINK("Gene1431-zp_tree_all.dnd", "Gene1431-tree")</f>
        <v>Gene1431-tree</v>
      </c>
      <c r="K67">
        <v>2</v>
      </c>
      <c r="L67">
        <v>2</v>
      </c>
      <c r="M67">
        <v>2</v>
      </c>
      <c r="N67">
        <v>2</v>
      </c>
      <c r="O67">
        <v>0.5</v>
      </c>
      <c r="P67" t="s">
        <v>124</v>
      </c>
      <c r="Q67" t="s">
        <v>124</v>
      </c>
      <c r="R67" t="s">
        <v>66</v>
      </c>
      <c r="S67" t="s">
        <v>66</v>
      </c>
      <c r="T67">
        <v>0</v>
      </c>
      <c r="U67">
        <v>0</v>
      </c>
      <c r="V67">
        <v>4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4</v>
      </c>
      <c r="AG67">
        <v>0</v>
      </c>
      <c r="AH67">
        <v>4</v>
      </c>
      <c r="AI67">
        <v>1</v>
      </c>
      <c r="AJ67">
        <v>19</v>
      </c>
      <c r="AK67">
        <v>4</v>
      </c>
      <c r="AL67">
        <v>1</v>
      </c>
      <c r="AM67">
        <v>0</v>
      </c>
      <c r="AN67" t="s">
        <v>1427</v>
      </c>
      <c r="AO67" t="s">
        <v>68</v>
      </c>
      <c r="AP67">
        <v>0.63800000000000001</v>
      </c>
      <c r="AQ67" t="s">
        <v>69</v>
      </c>
      <c r="AR67">
        <v>20</v>
      </c>
      <c r="AS67">
        <v>4</v>
      </c>
      <c r="AT67">
        <v>2.4049999999999998E-2</v>
      </c>
      <c r="AU67">
        <v>-7.1000000000000004E-3</v>
      </c>
      <c r="AV67">
        <v>8.4610000000000005E-2</v>
      </c>
      <c r="AW67">
        <v>-2.606E-2</v>
      </c>
      <c r="AX67">
        <v>5.5100000000000001E-3</v>
      </c>
      <c r="AY67">
        <v>-1.5900000000000001E-3</v>
      </c>
      <c r="AZ67">
        <v>6.5079999999999999E-2</v>
      </c>
      <c r="BA67">
        <v>1</v>
      </c>
      <c r="BB67" t="s">
        <v>70</v>
      </c>
      <c r="BC67">
        <v>-0.58399999999999996</v>
      </c>
      <c r="BD67">
        <v>-0.58399999999999996</v>
      </c>
      <c r="BE67" t="s">
        <v>139</v>
      </c>
    </row>
    <row r="68" spans="1:57">
      <c r="A68">
        <v>1491</v>
      </c>
      <c r="B68" t="s">
        <v>1492</v>
      </c>
      <c r="D68" t="s">
        <v>66</v>
      </c>
      <c r="E68" t="s">
        <v>1493</v>
      </c>
      <c r="F68" t="s">
        <v>1494</v>
      </c>
      <c r="G68">
        <v>124</v>
      </c>
      <c r="H68" t="s">
        <v>63</v>
      </c>
      <c r="I68">
        <v>5</v>
      </c>
      <c r="J68" t="str">
        <f>HYPERLINK("Gene1491-zp_tree_all.dnd", "Gene1491-tree")</f>
        <v>Gene1491-tree</v>
      </c>
      <c r="K68">
        <v>4</v>
      </c>
      <c r="L68">
        <v>1</v>
      </c>
      <c r="M68">
        <v>3</v>
      </c>
      <c r="N68">
        <v>1</v>
      </c>
      <c r="O68">
        <v>0.25</v>
      </c>
      <c r="P68" t="s">
        <v>112</v>
      </c>
      <c r="Q68" t="s">
        <v>65</v>
      </c>
      <c r="R68" t="s">
        <v>66</v>
      </c>
      <c r="S68" t="s">
        <v>66</v>
      </c>
      <c r="T68">
        <v>0</v>
      </c>
      <c r="U68">
        <v>0</v>
      </c>
      <c r="V68">
        <v>6</v>
      </c>
      <c r="W68">
        <v>0</v>
      </c>
      <c r="X68">
        <v>0</v>
      </c>
      <c r="Y68">
        <v>0</v>
      </c>
      <c r="Z68">
        <v>0</v>
      </c>
      <c r="AA68">
        <v>3</v>
      </c>
      <c r="AB68">
        <v>0</v>
      </c>
      <c r="AC68">
        <v>0</v>
      </c>
      <c r="AD68">
        <v>0</v>
      </c>
      <c r="AE68">
        <v>0</v>
      </c>
      <c r="AF68">
        <v>3</v>
      </c>
      <c r="AG68">
        <v>0</v>
      </c>
      <c r="AH68">
        <v>3</v>
      </c>
      <c r="AI68">
        <v>1</v>
      </c>
      <c r="AJ68">
        <v>6</v>
      </c>
      <c r="AK68">
        <v>3</v>
      </c>
      <c r="AL68">
        <v>7</v>
      </c>
      <c r="AM68">
        <v>3</v>
      </c>
      <c r="AN68" t="s">
        <v>1495</v>
      </c>
      <c r="AO68" t="s">
        <v>1496</v>
      </c>
      <c r="AP68">
        <v>0.111</v>
      </c>
      <c r="AQ68" t="s">
        <v>69</v>
      </c>
      <c r="AR68">
        <v>13</v>
      </c>
      <c r="AS68">
        <v>6</v>
      </c>
      <c r="AT68">
        <v>3.0020000000000002E-2</v>
      </c>
      <c r="AU68">
        <v>-5.4999999999999997E-3</v>
      </c>
      <c r="AV68">
        <v>0.10549</v>
      </c>
      <c r="AW68">
        <v>-2.2509999999999999E-2</v>
      </c>
      <c r="AX68">
        <v>1.209E-2</v>
      </c>
      <c r="AY68">
        <v>-2.1099999999999999E-3</v>
      </c>
      <c r="AZ68">
        <v>0.11461</v>
      </c>
      <c r="BA68">
        <v>1</v>
      </c>
      <c r="BB68" t="s">
        <v>70</v>
      </c>
      <c r="BC68">
        <v>0.38800000000000001</v>
      </c>
      <c r="BD68">
        <v>0.38800000000000001</v>
      </c>
      <c r="BE68" t="s">
        <v>139</v>
      </c>
    </row>
    <row r="69" spans="1:57">
      <c r="A69">
        <v>1506</v>
      </c>
      <c r="B69" t="s">
        <v>1505</v>
      </c>
      <c r="D69" t="s">
        <v>66</v>
      </c>
      <c r="E69" t="s">
        <v>1506</v>
      </c>
      <c r="F69" t="s">
        <v>74</v>
      </c>
      <c r="G69">
        <v>62</v>
      </c>
      <c r="H69" t="s">
        <v>63</v>
      </c>
      <c r="I69">
        <v>5</v>
      </c>
      <c r="J69" t="str">
        <f>HYPERLINK("Gene1506-zp_tree_all.dnd", "Gene1506-tree")</f>
        <v>Gene1506-tree</v>
      </c>
      <c r="K69">
        <v>4</v>
      </c>
      <c r="L69">
        <v>1</v>
      </c>
      <c r="M69">
        <v>4</v>
      </c>
      <c r="N69">
        <v>1</v>
      </c>
      <c r="O69">
        <v>0.2</v>
      </c>
      <c r="P69" t="s">
        <v>64</v>
      </c>
      <c r="Q69" t="s">
        <v>65</v>
      </c>
      <c r="R69" t="s">
        <v>66</v>
      </c>
      <c r="S69" t="s">
        <v>66</v>
      </c>
      <c r="T69">
        <v>0</v>
      </c>
      <c r="U69">
        <v>0</v>
      </c>
      <c r="V69">
        <v>2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5</v>
      </c>
      <c r="AI69">
        <v>2</v>
      </c>
      <c r="AJ69">
        <v>8</v>
      </c>
      <c r="AK69">
        <v>1</v>
      </c>
      <c r="AL69">
        <v>5</v>
      </c>
      <c r="AM69">
        <v>2</v>
      </c>
      <c r="AN69" t="s">
        <v>1507</v>
      </c>
      <c r="AO69" t="s">
        <v>1508</v>
      </c>
      <c r="AP69">
        <v>0.58799999999999997</v>
      </c>
      <c r="AQ69" t="s">
        <v>69</v>
      </c>
      <c r="AR69">
        <v>13</v>
      </c>
      <c r="AS69">
        <v>3</v>
      </c>
      <c r="AT69">
        <v>4.1939999999999998E-2</v>
      </c>
      <c r="AU69">
        <v>-4.9199999999999999E-3</v>
      </c>
      <c r="AV69">
        <v>0.17891000000000001</v>
      </c>
      <c r="AW69">
        <v>-2.648E-2</v>
      </c>
      <c r="AX69">
        <v>1.106E-2</v>
      </c>
      <c r="AY69">
        <v>-1.9400000000000001E-3</v>
      </c>
      <c r="AZ69">
        <v>6.1839999999999999E-2</v>
      </c>
      <c r="BA69">
        <v>1</v>
      </c>
      <c r="BB69" t="s">
        <v>70</v>
      </c>
      <c r="BC69">
        <v>0.115</v>
      </c>
      <c r="BD69">
        <v>0.115</v>
      </c>
      <c r="BE69" t="s">
        <v>139</v>
      </c>
    </row>
    <row r="70" spans="1:57">
      <c r="A70">
        <v>1537</v>
      </c>
      <c r="B70" t="s">
        <v>1561</v>
      </c>
      <c r="D70" t="s">
        <v>66</v>
      </c>
      <c r="E70" t="s">
        <v>1562</v>
      </c>
      <c r="F70" t="s">
        <v>74</v>
      </c>
      <c r="G70">
        <v>61</v>
      </c>
      <c r="H70" t="s">
        <v>63</v>
      </c>
      <c r="I70">
        <v>5</v>
      </c>
      <c r="J70" t="str">
        <f>HYPERLINK("Gene1537-zp_tree_all.dnd", "Gene1537-tree")</f>
        <v>Gene1537-tree</v>
      </c>
      <c r="K70">
        <v>0</v>
      </c>
      <c r="L70">
        <v>5</v>
      </c>
      <c r="M70">
        <v>0</v>
      </c>
      <c r="N70">
        <v>4</v>
      </c>
      <c r="O70">
        <v>1</v>
      </c>
      <c r="P70" t="s">
        <v>66</v>
      </c>
      <c r="Q70" t="s">
        <v>135</v>
      </c>
      <c r="R70">
        <v>3.1949999999999998</v>
      </c>
      <c r="S70" t="s">
        <v>69</v>
      </c>
      <c r="T70">
        <v>1</v>
      </c>
      <c r="U70">
        <v>2</v>
      </c>
      <c r="V70">
        <v>3</v>
      </c>
      <c r="W70">
        <v>0.4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</v>
      </c>
      <c r="AE70">
        <v>2</v>
      </c>
      <c r="AF70">
        <v>3</v>
      </c>
      <c r="AG70">
        <v>0.4</v>
      </c>
      <c r="AH70">
        <v>3</v>
      </c>
      <c r="AI70">
        <v>1</v>
      </c>
      <c r="AJ70">
        <v>0</v>
      </c>
      <c r="AK70">
        <v>4</v>
      </c>
      <c r="AL70">
        <v>2</v>
      </c>
      <c r="AM70">
        <v>1</v>
      </c>
      <c r="AN70" t="s">
        <v>68</v>
      </c>
      <c r="AO70" t="s">
        <v>1563</v>
      </c>
      <c r="AP70">
        <v>0</v>
      </c>
      <c r="AQ70" t="s">
        <v>69</v>
      </c>
      <c r="AR70">
        <v>2</v>
      </c>
      <c r="AS70">
        <v>5</v>
      </c>
      <c r="AT70">
        <v>2.1860000000000001E-2</v>
      </c>
      <c r="AU70">
        <v>-3.64E-3</v>
      </c>
      <c r="AV70">
        <v>3.7659999999999999E-2</v>
      </c>
      <c r="AW70">
        <v>-8.8800000000000007E-3</v>
      </c>
      <c r="AX70">
        <v>1.8579999999999999E-2</v>
      </c>
      <c r="AY70">
        <v>-2.7100000000000002E-3</v>
      </c>
      <c r="AZ70">
        <v>0.49342000000000003</v>
      </c>
      <c r="BA70">
        <v>0.71799999999999997</v>
      </c>
      <c r="BB70" t="s">
        <v>188</v>
      </c>
      <c r="BC70">
        <v>8.3000000000000004E-2</v>
      </c>
      <c r="BD70">
        <v>8.3000000000000004E-2</v>
      </c>
      <c r="BE70" t="s">
        <v>139</v>
      </c>
    </row>
    <row r="71" spans="1:57">
      <c r="A71">
        <v>1816</v>
      </c>
      <c r="B71" t="s">
        <v>2007</v>
      </c>
      <c r="D71" t="s">
        <v>66</v>
      </c>
      <c r="E71" t="s">
        <v>2008</v>
      </c>
      <c r="F71" t="s">
        <v>2009</v>
      </c>
      <c r="G71">
        <v>205</v>
      </c>
      <c r="H71" t="s">
        <v>63</v>
      </c>
      <c r="I71">
        <v>5</v>
      </c>
      <c r="J71" t="str">
        <f>HYPERLINK("Gene1816-zp_tree_all.dnd", "Gene1816-tree")</f>
        <v>Gene1816-tree</v>
      </c>
      <c r="K71">
        <v>4</v>
      </c>
      <c r="L71">
        <v>1</v>
      </c>
      <c r="M71">
        <v>4</v>
      </c>
      <c r="N71">
        <v>1</v>
      </c>
      <c r="O71">
        <v>0.2</v>
      </c>
      <c r="P71" t="s">
        <v>64</v>
      </c>
      <c r="Q71" t="s">
        <v>65</v>
      </c>
      <c r="R71" t="s">
        <v>66</v>
      </c>
      <c r="S71" t="s">
        <v>66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5</v>
      </c>
      <c r="AI71">
        <v>2</v>
      </c>
      <c r="AJ71">
        <v>12</v>
      </c>
      <c r="AK71">
        <v>1</v>
      </c>
      <c r="AL71">
        <v>20</v>
      </c>
      <c r="AM71">
        <v>0</v>
      </c>
      <c r="AN71" t="s">
        <v>2010</v>
      </c>
      <c r="AO71" t="s">
        <v>68</v>
      </c>
      <c r="AP71">
        <v>0.55300000000000005</v>
      </c>
      <c r="AQ71" t="s">
        <v>69</v>
      </c>
      <c r="AR71">
        <v>32</v>
      </c>
      <c r="AS71">
        <v>1</v>
      </c>
      <c r="AT71">
        <v>2.7480000000000001E-2</v>
      </c>
      <c r="AU71">
        <v>-4.9100000000000003E-3</v>
      </c>
      <c r="AV71">
        <v>0.13048999999999999</v>
      </c>
      <c r="AW71">
        <v>-2.4500000000000001E-2</v>
      </c>
      <c r="AX71">
        <v>8.4999999999999995E-4</v>
      </c>
      <c r="AY71">
        <v>-3.3E-4</v>
      </c>
      <c r="AZ71">
        <v>6.4900000000000001E-3</v>
      </c>
      <c r="BA71">
        <v>1</v>
      </c>
      <c r="BB71" t="s">
        <v>70</v>
      </c>
      <c r="BC71">
        <v>1.016</v>
      </c>
      <c r="BD71">
        <v>0.76400000000000001</v>
      </c>
      <c r="BE71" t="s">
        <v>139</v>
      </c>
    </row>
    <row r="72" spans="1:57">
      <c r="A72">
        <v>1828</v>
      </c>
      <c r="B72" t="s">
        <v>2035</v>
      </c>
      <c r="D72" t="s">
        <v>66</v>
      </c>
      <c r="E72" t="s">
        <v>2036</v>
      </c>
      <c r="F72" t="s">
        <v>2037</v>
      </c>
      <c r="G72">
        <v>130</v>
      </c>
      <c r="H72" t="s">
        <v>63</v>
      </c>
      <c r="I72">
        <v>5</v>
      </c>
      <c r="J72" t="str">
        <f>HYPERLINK("Gene1828-zp_tree_all.dnd", "Gene1828-tree")</f>
        <v>Gene1828-tree</v>
      </c>
      <c r="K72">
        <v>3</v>
      </c>
      <c r="L72">
        <v>2</v>
      </c>
      <c r="M72">
        <v>3</v>
      </c>
      <c r="N72">
        <v>2</v>
      </c>
      <c r="O72">
        <v>0.4</v>
      </c>
      <c r="P72" t="s">
        <v>86</v>
      </c>
      <c r="Q72" t="s">
        <v>124</v>
      </c>
      <c r="R72" t="s">
        <v>66</v>
      </c>
      <c r="S72" t="s">
        <v>66</v>
      </c>
      <c r="T72">
        <v>2</v>
      </c>
      <c r="U72">
        <v>4</v>
      </c>
      <c r="V72">
        <v>3</v>
      </c>
      <c r="W72">
        <v>0.57142999999999999</v>
      </c>
      <c r="X72">
        <v>0</v>
      </c>
      <c r="Y72">
        <v>0</v>
      </c>
      <c r="Z72">
        <v>0</v>
      </c>
      <c r="AA72">
        <v>2</v>
      </c>
      <c r="AB72">
        <v>0</v>
      </c>
      <c r="AC72">
        <v>0</v>
      </c>
      <c r="AD72">
        <v>0</v>
      </c>
      <c r="AE72">
        <v>0</v>
      </c>
      <c r="AF72">
        <v>5</v>
      </c>
      <c r="AG72">
        <v>0</v>
      </c>
      <c r="AH72">
        <v>4</v>
      </c>
      <c r="AI72">
        <v>2</v>
      </c>
      <c r="AJ72">
        <v>8</v>
      </c>
      <c r="AK72">
        <v>5</v>
      </c>
      <c r="AL72">
        <v>14</v>
      </c>
      <c r="AM72">
        <v>2</v>
      </c>
      <c r="AN72" t="s">
        <v>2038</v>
      </c>
      <c r="AO72" t="s">
        <v>2039</v>
      </c>
      <c r="AP72">
        <v>1.0369999999999999</v>
      </c>
      <c r="AQ72" t="s">
        <v>69</v>
      </c>
      <c r="AR72">
        <v>22</v>
      </c>
      <c r="AS72">
        <v>7</v>
      </c>
      <c r="AT72">
        <v>3.5900000000000001E-2</v>
      </c>
      <c r="AU72">
        <v>-5.2900000000000004E-3</v>
      </c>
      <c r="AV72">
        <v>0.15572</v>
      </c>
      <c r="AW72">
        <v>-2.7320000000000001E-2</v>
      </c>
      <c r="AX72">
        <v>1.038E-2</v>
      </c>
      <c r="AY72">
        <v>-1.2800000000000001E-3</v>
      </c>
      <c r="AZ72">
        <v>6.6680000000000003E-2</v>
      </c>
      <c r="BA72">
        <v>1</v>
      </c>
      <c r="BB72" t="s">
        <v>70</v>
      </c>
      <c r="BC72">
        <v>0.59799999999999998</v>
      </c>
      <c r="BD72">
        <v>0.13800000000000001</v>
      </c>
      <c r="BE72" t="s">
        <v>139</v>
      </c>
    </row>
    <row r="73" spans="1:57">
      <c r="A73">
        <v>1830</v>
      </c>
      <c r="B73" t="s">
        <v>2040</v>
      </c>
      <c r="D73" t="s">
        <v>66</v>
      </c>
      <c r="E73" t="s">
        <v>2041</v>
      </c>
      <c r="F73" t="s">
        <v>2042</v>
      </c>
      <c r="G73">
        <v>48</v>
      </c>
      <c r="H73" t="s">
        <v>63</v>
      </c>
      <c r="I73">
        <v>5</v>
      </c>
      <c r="J73" t="str">
        <f>HYPERLINK("Gene1830-zp_tree_all.dnd", "Gene1830-tree")</f>
        <v>Gene1830-tree</v>
      </c>
      <c r="K73">
        <v>5</v>
      </c>
      <c r="L73">
        <v>0</v>
      </c>
      <c r="M73">
        <v>4</v>
      </c>
      <c r="N73">
        <v>0</v>
      </c>
      <c r="O73">
        <v>0</v>
      </c>
      <c r="P73" t="s">
        <v>135</v>
      </c>
      <c r="Q73" t="s">
        <v>66</v>
      </c>
      <c r="R73" t="s">
        <v>66</v>
      </c>
      <c r="S73" t="s">
        <v>66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3</v>
      </c>
      <c r="AI73">
        <v>1</v>
      </c>
      <c r="AJ73">
        <v>3</v>
      </c>
      <c r="AK73">
        <v>0</v>
      </c>
      <c r="AL73">
        <v>4</v>
      </c>
      <c r="AM73">
        <v>1</v>
      </c>
      <c r="AN73" t="s">
        <v>68</v>
      </c>
      <c r="AO73" t="s">
        <v>2043</v>
      </c>
      <c r="AP73">
        <v>0</v>
      </c>
      <c r="AQ73" t="s">
        <v>69</v>
      </c>
      <c r="AR73">
        <v>7</v>
      </c>
      <c r="AS73">
        <v>1</v>
      </c>
      <c r="AT73">
        <v>3.356E-2</v>
      </c>
      <c r="AU73">
        <v>-6.8300000000000001E-3</v>
      </c>
      <c r="AV73">
        <v>0.16725999999999999</v>
      </c>
      <c r="AW73">
        <v>-3.3700000000000001E-2</v>
      </c>
      <c r="AX73">
        <v>5.8100000000000001E-3</v>
      </c>
      <c r="AY73">
        <v>-1.3699999999999999E-3</v>
      </c>
      <c r="AZ73">
        <v>3.4709999999999998E-2</v>
      </c>
      <c r="BA73">
        <v>1</v>
      </c>
      <c r="BB73" t="s">
        <v>70</v>
      </c>
      <c r="BC73">
        <v>1.028</v>
      </c>
      <c r="BD73">
        <v>1.028</v>
      </c>
      <c r="BE73" t="s">
        <v>139</v>
      </c>
    </row>
    <row r="74" spans="1:57">
      <c r="A74">
        <v>1839</v>
      </c>
      <c r="B74" t="s">
        <v>2049</v>
      </c>
      <c r="D74" t="s">
        <v>66</v>
      </c>
      <c r="E74" t="s">
        <v>2050</v>
      </c>
      <c r="F74" t="s">
        <v>2051</v>
      </c>
      <c r="G74">
        <v>193</v>
      </c>
      <c r="H74" t="s">
        <v>106</v>
      </c>
      <c r="I74">
        <v>4</v>
      </c>
      <c r="J74" t="str">
        <f>HYPERLINK("Gene1839-zp_tree_all.dnd", "Gene1839-tree")</f>
        <v>Gene1839-tree</v>
      </c>
      <c r="K74">
        <v>3</v>
      </c>
      <c r="L74">
        <v>1</v>
      </c>
      <c r="M74">
        <v>3</v>
      </c>
      <c r="N74">
        <v>1</v>
      </c>
      <c r="O74">
        <v>0.25</v>
      </c>
      <c r="P74" t="s">
        <v>86</v>
      </c>
      <c r="Q74" t="s">
        <v>65</v>
      </c>
      <c r="R74" t="s">
        <v>66</v>
      </c>
      <c r="S74" t="s">
        <v>66</v>
      </c>
      <c r="T74">
        <v>0</v>
      </c>
      <c r="U74">
        <v>0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4</v>
      </c>
      <c r="AG74">
        <v>0</v>
      </c>
      <c r="AH74">
        <v>3</v>
      </c>
      <c r="AI74">
        <v>1</v>
      </c>
      <c r="AJ74">
        <v>26</v>
      </c>
      <c r="AK74">
        <v>4</v>
      </c>
      <c r="AL74">
        <v>1</v>
      </c>
      <c r="AM74">
        <v>0</v>
      </c>
      <c r="AN74" t="s">
        <v>2052</v>
      </c>
      <c r="AO74" t="s">
        <v>68</v>
      </c>
      <c r="AP74">
        <v>0.50600000000000001</v>
      </c>
      <c r="AQ74" t="s">
        <v>69</v>
      </c>
      <c r="AR74">
        <v>27</v>
      </c>
      <c r="AS74">
        <v>4</v>
      </c>
      <c r="AT74">
        <v>2.7060000000000001E-2</v>
      </c>
      <c r="AU74">
        <v>-9.1900000000000003E-3</v>
      </c>
      <c r="AV74">
        <v>0.1061</v>
      </c>
      <c r="AW74">
        <v>-3.585E-2</v>
      </c>
      <c r="AX74">
        <v>4.6299999999999996E-3</v>
      </c>
      <c r="AY74">
        <v>-1.89E-3</v>
      </c>
      <c r="AZ74">
        <v>4.367E-2</v>
      </c>
      <c r="BA74">
        <v>1</v>
      </c>
      <c r="BB74" t="s">
        <v>70</v>
      </c>
      <c r="BC74">
        <v>-0.76</v>
      </c>
      <c r="BD74">
        <v>-0.76</v>
      </c>
      <c r="BE74" t="s">
        <v>139</v>
      </c>
    </row>
    <row r="75" spans="1:57">
      <c r="A75">
        <v>1843</v>
      </c>
      <c r="B75" t="s">
        <v>2053</v>
      </c>
      <c r="D75" t="s">
        <v>66</v>
      </c>
      <c r="E75" t="s">
        <v>2054</v>
      </c>
      <c r="F75" t="s">
        <v>74</v>
      </c>
      <c r="G75">
        <v>136</v>
      </c>
      <c r="H75" t="s">
        <v>63</v>
      </c>
      <c r="I75">
        <v>5</v>
      </c>
      <c r="J75" t="str">
        <f>HYPERLINK("Gene1843-zp_tree_all.dnd", "Gene1843-tree")</f>
        <v>Gene1843-tree</v>
      </c>
      <c r="K75">
        <v>0</v>
      </c>
      <c r="L75">
        <v>5</v>
      </c>
      <c r="M75">
        <v>0</v>
      </c>
      <c r="N75">
        <v>4</v>
      </c>
      <c r="O75">
        <v>1</v>
      </c>
      <c r="P75" t="s">
        <v>66</v>
      </c>
      <c r="Q75" t="s">
        <v>135</v>
      </c>
      <c r="R75">
        <v>3.1949999999999998</v>
      </c>
      <c r="S75" t="s">
        <v>69</v>
      </c>
      <c r="T75">
        <v>0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5</v>
      </c>
      <c r="AG75">
        <v>0</v>
      </c>
      <c r="AH75">
        <v>3</v>
      </c>
      <c r="AI75">
        <v>1</v>
      </c>
      <c r="AJ75">
        <v>11</v>
      </c>
      <c r="AK75">
        <v>3</v>
      </c>
      <c r="AL75">
        <v>9</v>
      </c>
      <c r="AM75">
        <v>2</v>
      </c>
      <c r="AN75" t="s">
        <v>2055</v>
      </c>
      <c r="AO75" t="s">
        <v>2056</v>
      </c>
      <c r="AP75">
        <v>3.093</v>
      </c>
      <c r="AQ75" t="s">
        <v>239</v>
      </c>
      <c r="AR75">
        <v>20</v>
      </c>
      <c r="AS75">
        <v>5</v>
      </c>
      <c r="AT75">
        <v>3.524E-2</v>
      </c>
      <c r="AU75">
        <v>-6.0200000000000002E-3</v>
      </c>
      <c r="AV75">
        <v>0.13885</v>
      </c>
      <c r="AW75">
        <v>-2.4879999999999999E-2</v>
      </c>
      <c r="AX75">
        <v>1.022E-2</v>
      </c>
      <c r="AY75">
        <v>-1.7799999999999999E-3</v>
      </c>
      <c r="AZ75">
        <v>7.3630000000000001E-2</v>
      </c>
      <c r="BA75">
        <v>1</v>
      </c>
      <c r="BB75" t="s">
        <v>70</v>
      </c>
      <c r="BC75">
        <v>0.374</v>
      </c>
      <c r="BD75">
        <v>5.1999999999999998E-2</v>
      </c>
      <c r="BE75" t="s">
        <v>139</v>
      </c>
    </row>
    <row r="76" spans="1:57">
      <c r="A76">
        <v>1873</v>
      </c>
      <c r="B76" t="s">
        <v>2057</v>
      </c>
      <c r="D76" t="s">
        <v>66</v>
      </c>
      <c r="E76" t="s">
        <v>2058</v>
      </c>
      <c r="F76" t="s">
        <v>74</v>
      </c>
      <c r="G76">
        <v>76</v>
      </c>
      <c r="H76" t="s">
        <v>63</v>
      </c>
      <c r="I76">
        <v>5</v>
      </c>
      <c r="J76" t="str">
        <f>HYPERLINK("Gene1873-zp_tree_all.dnd", "Gene1873-tree")</f>
        <v>Gene1873-tree</v>
      </c>
      <c r="K76">
        <v>3</v>
      </c>
      <c r="L76">
        <v>2</v>
      </c>
      <c r="M76">
        <v>3</v>
      </c>
      <c r="N76">
        <v>2</v>
      </c>
      <c r="O76">
        <v>0.4</v>
      </c>
      <c r="P76" t="s">
        <v>86</v>
      </c>
      <c r="Q76" t="s">
        <v>124</v>
      </c>
      <c r="R76" t="s">
        <v>66</v>
      </c>
      <c r="S76" t="s">
        <v>66</v>
      </c>
      <c r="T76">
        <v>0</v>
      </c>
      <c r="U76">
        <v>0</v>
      </c>
      <c r="V76">
        <v>8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8</v>
      </c>
      <c r="AG76">
        <v>0</v>
      </c>
      <c r="AH76">
        <v>3</v>
      </c>
      <c r="AI76">
        <v>2</v>
      </c>
      <c r="AJ76">
        <v>5</v>
      </c>
      <c r="AK76">
        <v>5</v>
      </c>
      <c r="AL76">
        <v>4</v>
      </c>
      <c r="AM76">
        <v>3</v>
      </c>
      <c r="AN76" t="s">
        <v>2059</v>
      </c>
      <c r="AO76" t="s">
        <v>2060</v>
      </c>
      <c r="AP76">
        <v>0.26500000000000001</v>
      </c>
      <c r="AQ76" t="s">
        <v>69</v>
      </c>
      <c r="AR76">
        <v>9</v>
      </c>
      <c r="AS76">
        <v>8</v>
      </c>
      <c r="AT76">
        <v>3.5090000000000003E-2</v>
      </c>
      <c r="AU76">
        <v>-5.5799999999999999E-3</v>
      </c>
      <c r="AV76">
        <v>9.7619999999999998E-2</v>
      </c>
      <c r="AW76">
        <v>-1.554E-2</v>
      </c>
      <c r="AX76">
        <v>2.138E-2</v>
      </c>
      <c r="AY76">
        <v>-4.4900000000000001E-3</v>
      </c>
      <c r="AZ76">
        <v>0.21903</v>
      </c>
      <c r="BA76">
        <v>0.99</v>
      </c>
      <c r="BB76" t="s">
        <v>70</v>
      </c>
      <c r="BC76">
        <v>0.30499999999999999</v>
      </c>
      <c r="BD76">
        <v>-7.5999999999999998E-2</v>
      </c>
      <c r="BE76" t="s">
        <v>139</v>
      </c>
    </row>
    <row r="77" spans="1:57">
      <c r="A77">
        <v>1881</v>
      </c>
      <c r="B77" t="s">
        <v>2066</v>
      </c>
      <c r="D77" t="s">
        <v>66</v>
      </c>
      <c r="E77" t="s">
        <v>2067</v>
      </c>
      <c r="F77" t="s">
        <v>2068</v>
      </c>
      <c r="G77">
        <v>297</v>
      </c>
      <c r="H77" t="s">
        <v>106</v>
      </c>
      <c r="I77">
        <v>4</v>
      </c>
      <c r="J77" t="str">
        <f>HYPERLINK("Gene1881-zp_tree_all.dnd", "Gene1881-tree")</f>
        <v>Gene1881-tree</v>
      </c>
      <c r="K77">
        <v>2</v>
      </c>
      <c r="L77">
        <v>2</v>
      </c>
      <c r="M77">
        <v>2</v>
      </c>
      <c r="N77">
        <v>2</v>
      </c>
      <c r="O77">
        <v>0.5</v>
      </c>
      <c r="P77" t="s">
        <v>124</v>
      </c>
      <c r="Q77" t="s">
        <v>124</v>
      </c>
      <c r="R77" t="s">
        <v>66</v>
      </c>
      <c r="S77" t="s">
        <v>66</v>
      </c>
      <c r="T77">
        <v>0</v>
      </c>
      <c r="U77">
        <v>0</v>
      </c>
      <c r="V77">
        <v>11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11</v>
      </c>
      <c r="AG77">
        <v>0</v>
      </c>
      <c r="AH77">
        <v>3</v>
      </c>
      <c r="AI77">
        <v>1</v>
      </c>
      <c r="AJ77">
        <v>38</v>
      </c>
      <c r="AK77">
        <v>11</v>
      </c>
      <c r="AL77">
        <v>1</v>
      </c>
      <c r="AM77">
        <v>0</v>
      </c>
      <c r="AN77" t="s">
        <v>2069</v>
      </c>
      <c r="AO77" t="s">
        <v>68</v>
      </c>
      <c r="AP77">
        <v>0.72</v>
      </c>
      <c r="AQ77" t="s">
        <v>69</v>
      </c>
      <c r="AR77">
        <v>39</v>
      </c>
      <c r="AS77">
        <v>11</v>
      </c>
      <c r="AT77">
        <v>2.7869999999999999E-2</v>
      </c>
      <c r="AU77">
        <v>-8.0800000000000004E-3</v>
      </c>
      <c r="AV77">
        <v>0.10371</v>
      </c>
      <c r="AW77">
        <v>-2.9159999999999998E-2</v>
      </c>
      <c r="AX77">
        <v>8.1099999999999992E-3</v>
      </c>
      <c r="AY77">
        <v>-2.9299999999999999E-3</v>
      </c>
      <c r="AZ77">
        <v>7.8159999999999993E-2</v>
      </c>
      <c r="BA77">
        <v>1</v>
      </c>
      <c r="BB77" t="s">
        <v>70</v>
      </c>
      <c r="BC77">
        <v>-0.73699999999999999</v>
      </c>
      <c r="BD77">
        <v>-0.73699999999999999</v>
      </c>
      <c r="BE77" t="s">
        <v>139</v>
      </c>
    </row>
    <row r="78" spans="1:57">
      <c r="A78">
        <v>1952</v>
      </c>
      <c r="B78" t="s">
        <v>2075</v>
      </c>
      <c r="D78" t="s">
        <v>60</v>
      </c>
      <c r="E78" t="s">
        <v>2076</v>
      </c>
      <c r="F78" t="s">
        <v>74</v>
      </c>
      <c r="G78">
        <v>225</v>
      </c>
      <c r="H78" t="s">
        <v>63</v>
      </c>
      <c r="I78">
        <v>5</v>
      </c>
      <c r="J78" t="str">
        <f>HYPERLINK("Gene1952-zp_tree_all.dnd", "Gene1952-tree")</f>
        <v>Gene1952-tree</v>
      </c>
      <c r="K78">
        <v>3</v>
      </c>
      <c r="L78">
        <v>2</v>
      </c>
      <c r="M78">
        <v>3</v>
      </c>
      <c r="N78">
        <v>2</v>
      </c>
      <c r="O78">
        <v>0.4</v>
      </c>
      <c r="P78" t="s">
        <v>86</v>
      </c>
      <c r="Q78" t="s">
        <v>124</v>
      </c>
      <c r="R78" t="s">
        <v>66</v>
      </c>
      <c r="S78" t="s">
        <v>66</v>
      </c>
      <c r="T78">
        <v>1</v>
      </c>
      <c r="U78">
        <v>2</v>
      </c>
      <c r="V78">
        <v>9</v>
      </c>
      <c r="W78">
        <v>0.18182000000000001</v>
      </c>
      <c r="X78">
        <v>0</v>
      </c>
      <c r="Y78">
        <v>0</v>
      </c>
      <c r="Z78">
        <v>0</v>
      </c>
      <c r="AA78">
        <v>5</v>
      </c>
      <c r="AB78">
        <v>0</v>
      </c>
      <c r="AC78">
        <v>0</v>
      </c>
      <c r="AD78">
        <v>0</v>
      </c>
      <c r="AE78">
        <v>0</v>
      </c>
      <c r="AF78">
        <v>6</v>
      </c>
      <c r="AG78">
        <v>0</v>
      </c>
      <c r="AH78">
        <v>4</v>
      </c>
      <c r="AI78">
        <v>2</v>
      </c>
      <c r="AJ78">
        <v>11</v>
      </c>
      <c r="AK78">
        <v>6</v>
      </c>
      <c r="AL78">
        <v>10</v>
      </c>
      <c r="AM78">
        <v>5</v>
      </c>
      <c r="AN78" t="s">
        <v>2077</v>
      </c>
      <c r="AO78" t="s">
        <v>2078</v>
      </c>
      <c r="AP78">
        <v>6.3E-2</v>
      </c>
      <c r="AQ78" t="s">
        <v>69</v>
      </c>
      <c r="AR78">
        <v>21</v>
      </c>
      <c r="AS78">
        <v>11</v>
      </c>
      <c r="AT78">
        <v>2.307E-2</v>
      </c>
      <c r="AU78">
        <v>-4.2300000000000003E-3</v>
      </c>
      <c r="AV78">
        <v>7.0220000000000005E-2</v>
      </c>
      <c r="AW78">
        <v>-1.2359999999999999E-2</v>
      </c>
      <c r="AX78">
        <v>1.1010000000000001E-2</v>
      </c>
      <c r="AY78">
        <v>-2.5600000000000002E-3</v>
      </c>
      <c r="AZ78">
        <v>0.15673999999999999</v>
      </c>
      <c r="BA78">
        <v>1</v>
      </c>
      <c r="BB78" t="s">
        <v>70</v>
      </c>
      <c r="BC78">
        <v>0.312</v>
      </c>
      <c r="BD78">
        <v>0.06</v>
      </c>
      <c r="BE78" t="s">
        <v>139</v>
      </c>
    </row>
    <row r="79" spans="1:57">
      <c r="A79">
        <v>1995</v>
      </c>
      <c r="B79" t="s">
        <v>2099</v>
      </c>
      <c r="D79" t="s">
        <v>60</v>
      </c>
      <c r="E79" t="s">
        <v>2100</v>
      </c>
      <c r="F79" t="s">
        <v>2101</v>
      </c>
      <c r="G79">
        <v>202</v>
      </c>
      <c r="H79" t="s">
        <v>63</v>
      </c>
      <c r="I79">
        <v>5</v>
      </c>
      <c r="J79" t="str">
        <f>HYPERLINK("Gene1995-zp_tree_all.dnd", "Gene1995-tree")</f>
        <v>Gene1995-tree</v>
      </c>
      <c r="K79">
        <v>3</v>
      </c>
      <c r="L79">
        <v>2</v>
      </c>
      <c r="M79">
        <v>3</v>
      </c>
      <c r="N79">
        <v>2</v>
      </c>
      <c r="O79">
        <v>0.4</v>
      </c>
      <c r="P79" t="s">
        <v>86</v>
      </c>
      <c r="Q79" t="s">
        <v>124</v>
      </c>
      <c r="R79" t="s">
        <v>66</v>
      </c>
      <c r="S79" t="s">
        <v>66</v>
      </c>
      <c r="T79">
        <v>2</v>
      </c>
      <c r="U79">
        <v>4</v>
      </c>
      <c r="V79">
        <v>4</v>
      </c>
      <c r="W79">
        <v>0.5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2</v>
      </c>
      <c r="AE79">
        <v>2</v>
      </c>
      <c r="AF79">
        <v>5</v>
      </c>
      <c r="AG79">
        <v>0.28571000000000002</v>
      </c>
      <c r="AH79">
        <v>5</v>
      </c>
      <c r="AI79">
        <v>2</v>
      </c>
      <c r="AJ79">
        <v>18</v>
      </c>
      <c r="AK79">
        <v>4</v>
      </c>
      <c r="AL79">
        <v>16</v>
      </c>
      <c r="AM79">
        <v>4</v>
      </c>
      <c r="AN79" t="s">
        <v>2102</v>
      </c>
      <c r="AO79" t="s">
        <v>2103</v>
      </c>
      <c r="AP79">
        <v>5.1999999999999998E-2</v>
      </c>
      <c r="AQ79" t="s">
        <v>69</v>
      </c>
      <c r="AR79">
        <v>34</v>
      </c>
      <c r="AS79">
        <v>8</v>
      </c>
      <c r="AT79">
        <v>3.2340000000000001E-2</v>
      </c>
      <c r="AU79">
        <v>-5.7200000000000003E-3</v>
      </c>
      <c r="AV79">
        <v>0.12673999999999999</v>
      </c>
      <c r="AW79">
        <v>-2.3380000000000001E-2</v>
      </c>
      <c r="AX79">
        <v>8.6E-3</v>
      </c>
      <c r="AY79">
        <v>-1.64E-3</v>
      </c>
      <c r="AZ79">
        <v>6.7890000000000006E-2</v>
      </c>
      <c r="BA79">
        <v>1</v>
      </c>
      <c r="BB79" t="s">
        <v>70</v>
      </c>
      <c r="BC79">
        <v>0.77800000000000002</v>
      </c>
      <c r="BD79">
        <v>0.44</v>
      </c>
      <c r="BE79" t="s">
        <v>139</v>
      </c>
    </row>
    <row r="80" spans="1:57">
      <c r="A80">
        <v>2009</v>
      </c>
      <c r="B80" t="s">
        <v>2122</v>
      </c>
      <c r="D80" t="s">
        <v>60</v>
      </c>
      <c r="E80" t="s">
        <v>2123</v>
      </c>
      <c r="F80" t="s">
        <v>74</v>
      </c>
      <c r="G80">
        <v>47</v>
      </c>
      <c r="H80" t="s">
        <v>63</v>
      </c>
      <c r="I80">
        <v>5</v>
      </c>
      <c r="J80" t="str">
        <f>HYPERLINK("Gene2009-zp_tree_all.dnd", "Gene2009-tree")</f>
        <v>Gene2009-tree</v>
      </c>
      <c r="K80">
        <v>5</v>
      </c>
      <c r="L80">
        <v>0</v>
      </c>
      <c r="M80">
        <v>5</v>
      </c>
      <c r="N80">
        <v>0</v>
      </c>
      <c r="O80">
        <v>0</v>
      </c>
      <c r="P80" t="s">
        <v>96</v>
      </c>
      <c r="Q80" t="s">
        <v>66</v>
      </c>
      <c r="R80" t="s">
        <v>66</v>
      </c>
      <c r="S80" t="s">
        <v>66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3</v>
      </c>
      <c r="AI80">
        <v>1</v>
      </c>
      <c r="AJ80">
        <v>3</v>
      </c>
      <c r="AK80">
        <v>0</v>
      </c>
      <c r="AL80">
        <v>1</v>
      </c>
      <c r="AM80">
        <v>1</v>
      </c>
      <c r="AN80" t="s">
        <v>68</v>
      </c>
      <c r="AO80" t="s">
        <v>2124</v>
      </c>
      <c r="AP80">
        <v>0</v>
      </c>
      <c r="AQ80" t="s">
        <v>69</v>
      </c>
      <c r="AR80">
        <v>4</v>
      </c>
      <c r="AS80">
        <v>1</v>
      </c>
      <c r="AT80">
        <v>1.7389999999999999E-2</v>
      </c>
      <c r="AU80">
        <v>-2.5500000000000002E-3</v>
      </c>
      <c r="AV80">
        <v>6.8650000000000003E-2</v>
      </c>
      <c r="AW80">
        <v>-9.4400000000000005E-3</v>
      </c>
      <c r="AX80">
        <v>5.47E-3</v>
      </c>
      <c r="AY80">
        <v>-1.2999999999999999E-3</v>
      </c>
      <c r="AZ80">
        <v>7.9699999999999993E-2</v>
      </c>
      <c r="BA80">
        <v>1</v>
      </c>
      <c r="BB80" t="s">
        <v>70</v>
      </c>
      <c r="BC80">
        <v>0</v>
      </c>
      <c r="BD80">
        <v>0</v>
      </c>
      <c r="BE80" t="s">
        <v>139</v>
      </c>
    </row>
    <row r="81" spans="1:57">
      <c r="A81">
        <v>2216</v>
      </c>
      <c r="B81" t="s">
        <v>2133</v>
      </c>
      <c r="D81" t="s">
        <v>60</v>
      </c>
      <c r="E81" t="s">
        <v>2134</v>
      </c>
      <c r="F81" t="s">
        <v>787</v>
      </c>
      <c r="G81">
        <v>141</v>
      </c>
      <c r="H81" t="s">
        <v>63</v>
      </c>
      <c r="I81">
        <v>5</v>
      </c>
      <c r="J81" t="str">
        <f>HYPERLINK("Gene2216-zp_tree_all.dnd", "Gene2216-tree")</f>
        <v>Gene2216-tree</v>
      </c>
      <c r="K81">
        <v>4</v>
      </c>
      <c r="L81">
        <v>1</v>
      </c>
      <c r="M81">
        <v>4</v>
      </c>
      <c r="N81">
        <v>1</v>
      </c>
      <c r="O81">
        <v>0.2</v>
      </c>
      <c r="P81" t="s">
        <v>64</v>
      </c>
      <c r="Q81" t="s">
        <v>65</v>
      </c>
      <c r="R81" t="s">
        <v>66</v>
      </c>
      <c r="S81" t="s">
        <v>66</v>
      </c>
      <c r="T81">
        <v>0</v>
      </c>
      <c r="U81">
        <v>0</v>
      </c>
      <c r="V81">
        <v>3</v>
      </c>
      <c r="W81">
        <v>0</v>
      </c>
      <c r="X81">
        <v>0</v>
      </c>
      <c r="Y81">
        <v>0</v>
      </c>
      <c r="Z81">
        <v>0</v>
      </c>
      <c r="AA81">
        <v>2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4</v>
      </c>
      <c r="AI81">
        <v>1</v>
      </c>
      <c r="AJ81">
        <v>11</v>
      </c>
      <c r="AK81">
        <v>1</v>
      </c>
      <c r="AL81">
        <v>11</v>
      </c>
      <c r="AM81">
        <v>2</v>
      </c>
      <c r="AN81" t="s">
        <v>2135</v>
      </c>
      <c r="AO81" t="s">
        <v>2136</v>
      </c>
      <c r="AP81">
        <v>0.56499999999999995</v>
      </c>
      <c r="AQ81" t="s">
        <v>69</v>
      </c>
      <c r="AR81">
        <v>22</v>
      </c>
      <c r="AS81">
        <v>3</v>
      </c>
      <c r="AT81">
        <v>2.9520000000000001E-2</v>
      </c>
      <c r="AU81">
        <v>-5.3800000000000002E-3</v>
      </c>
      <c r="AV81">
        <v>0.13843</v>
      </c>
      <c r="AW81">
        <v>-2.5229999999999999E-2</v>
      </c>
      <c r="AX81">
        <v>4.8399999999999997E-3</v>
      </c>
      <c r="AY81">
        <v>-1.15E-3</v>
      </c>
      <c r="AZ81">
        <v>3.4979999999999997E-2</v>
      </c>
      <c r="BA81">
        <v>1</v>
      </c>
      <c r="BB81" t="s">
        <v>70</v>
      </c>
      <c r="BC81">
        <v>0.56799999999999995</v>
      </c>
      <c r="BD81">
        <v>0.56799999999999995</v>
      </c>
      <c r="BE81" t="s">
        <v>139</v>
      </c>
    </row>
    <row r="82" spans="1:57">
      <c r="A82">
        <v>2237</v>
      </c>
      <c r="B82" t="s">
        <v>2149</v>
      </c>
      <c r="D82" t="s">
        <v>60</v>
      </c>
      <c r="E82" t="s">
        <v>2150</v>
      </c>
      <c r="F82" t="s">
        <v>2151</v>
      </c>
      <c r="G82">
        <v>301</v>
      </c>
      <c r="H82" t="s">
        <v>63</v>
      </c>
      <c r="I82">
        <v>5</v>
      </c>
      <c r="J82" t="str">
        <f>HYPERLINK("Gene2237-zp_tree_all.dnd", "Gene2237-tree")</f>
        <v>Gene2237-tree</v>
      </c>
      <c r="K82">
        <v>1</v>
      </c>
      <c r="L82">
        <v>4</v>
      </c>
      <c r="M82">
        <v>1</v>
      </c>
      <c r="N82">
        <v>4</v>
      </c>
      <c r="O82">
        <v>0.8</v>
      </c>
      <c r="P82" t="s">
        <v>65</v>
      </c>
      <c r="Q82" t="s">
        <v>64</v>
      </c>
      <c r="R82" t="s">
        <v>66</v>
      </c>
      <c r="S82" t="s">
        <v>66</v>
      </c>
      <c r="T82">
        <v>0</v>
      </c>
      <c r="U82">
        <v>0</v>
      </c>
      <c r="V82">
        <v>11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11</v>
      </c>
      <c r="AG82">
        <v>0</v>
      </c>
      <c r="AH82">
        <v>5</v>
      </c>
      <c r="AI82">
        <v>1</v>
      </c>
      <c r="AJ82">
        <v>15</v>
      </c>
      <c r="AK82">
        <v>6</v>
      </c>
      <c r="AL82">
        <v>18</v>
      </c>
      <c r="AM82">
        <v>6</v>
      </c>
      <c r="AN82" t="s">
        <v>2152</v>
      </c>
      <c r="AO82" t="s">
        <v>2153</v>
      </c>
      <c r="AP82">
        <v>0.51100000000000001</v>
      </c>
      <c r="AQ82" t="s">
        <v>69</v>
      </c>
      <c r="AR82">
        <v>33</v>
      </c>
      <c r="AS82">
        <v>12</v>
      </c>
      <c r="AT82">
        <v>2.4580000000000001E-2</v>
      </c>
      <c r="AU82">
        <v>-4.4099999999999999E-3</v>
      </c>
      <c r="AV82">
        <v>9.085E-2</v>
      </c>
      <c r="AW82">
        <v>-1.694E-2</v>
      </c>
      <c r="AX82">
        <v>8.5199999999999998E-3</v>
      </c>
      <c r="AY82">
        <v>-1.5200000000000001E-3</v>
      </c>
      <c r="AZ82">
        <v>9.375E-2</v>
      </c>
      <c r="BA82">
        <v>1</v>
      </c>
      <c r="BB82" t="s">
        <v>70</v>
      </c>
      <c r="BC82">
        <v>0.56899999999999995</v>
      </c>
      <c r="BD82">
        <v>0.20399999999999999</v>
      </c>
      <c r="BE82" t="s">
        <v>139</v>
      </c>
    </row>
    <row r="83" spans="1:57">
      <c r="A83">
        <v>2244</v>
      </c>
      <c r="B83" t="s">
        <v>2161</v>
      </c>
      <c r="D83" t="s">
        <v>60</v>
      </c>
      <c r="E83" t="s">
        <v>2162</v>
      </c>
      <c r="F83" t="s">
        <v>74</v>
      </c>
      <c r="G83">
        <v>229</v>
      </c>
      <c r="H83" t="s">
        <v>63</v>
      </c>
      <c r="I83">
        <v>5</v>
      </c>
      <c r="J83" t="str">
        <f>HYPERLINK("Gene2244-zp_tree_all.dnd", "Gene2244-tree")</f>
        <v>Gene2244-tree</v>
      </c>
      <c r="K83">
        <v>4</v>
      </c>
      <c r="L83">
        <v>1</v>
      </c>
      <c r="M83">
        <v>4</v>
      </c>
      <c r="N83">
        <v>1</v>
      </c>
      <c r="O83">
        <v>0.2</v>
      </c>
      <c r="P83" t="s">
        <v>64</v>
      </c>
      <c r="Q83" t="s">
        <v>65</v>
      </c>
      <c r="R83" t="s">
        <v>66</v>
      </c>
      <c r="S83" t="s">
        <v>66</v>
      </c>
      <c r="T83">
        <v>1</v>
      </c>
      <c r="U83">
        <v>2</v>
      </c>
      <c r="V83">
        <v>5</v>
      </c>
      <c r="W83">
        <v>0.28571000000000002</v>
      </c>
      <c r="X83">
        <v>0</v>
      </c>
      <c r="Y83">
        <v>0</v>
      </c>
      <c r="Z83">
        <v>0</v>
      </c>
      <c r="AA83">
        <v>5</v>
      </c>
      <c r="AB83">
        <v>0</v>
      </c>
      <c r="AC83">
        <v>0</v>
      </c>
      <c r="AD83">
        <v>0</v>
      </c>
      <c r="AE83">
        <v>0</v>
      </c>
      <c r="AF83">
        <v>2</v>
      </c>
      <c r="AG83">
        <v>0</v>
      </c>
      <c r="AH83">
        <v>5</v>
      </c>
      <c r="AI83">
        <v>2</v>
      </c>
      <c r="AJ83">
        <v>13</v>
      </c>
      <c r="AK83">
        <v>2</v>
      </c>
      <c r="AL83">
        <v>20</v>
      </c>
      <c r="AM83">
        <v>5</v>
      </c>
      <c r="AN83" t="s">
        <v>2163</v>
      </c>
      <c r="AO83" t="s">
        <v>2164</v>
      </c>
      <c r="AP83">
        <v>0.20399999999999999</v>
      </c>
      <c r="AQ83" t="s">
        <v>69</v>
      </c>
      <c r="AR83">
        <v>33</v>
      </c>
      <c r="AS83">
        <v>7</v>
      </c>
      <c r="AT83">
        <v>2.9239999999999999E-2</v>
      </c>
      <c r="AU83">
        <v>-4.9899999999999996E-3</v>
      </c>
      <c r="AV83">
        <v>0.10959000000000001</v>
      </c>
      <c r="AW83">
        <v>-1.925E-2</v>
      </c>
      <c r="AX83">
        <v>6.6100000000000004E-3</v>
      </c>
      <c r="AY83">
        <v>-1.08E-3</v>
      </c>
      <c r="AZ83">
        <v>6.0290000000000003E-2</v>
      </c>
      <c r="BA83">
        <v>1</v>
      </c>
      <c r="BB83" t="s">
        <v>70</v>
      </c>
      <c r="BC83">
        <v>1.181</v>
      </c>
      <c r="BD83">
        <v>0.747</v>
      </c>
      <c r="BE83" t="s">
        <v>139</v>
      </c>
    </row>
    <row r="84" spans="1:57">
      <c r="A84">
        <v>2264</v>
      </c>
      <c r="B84" t="s">
        <v>2170</v>
      </c>
      <c r="D84" t="s">
        <v>60</v>
      </c>
      <c r="E84" t="s">
        <v>2171</v>
      </c>
      <c r="F84" t="s">
        <v>74</v>
      </c>
      <c r="G84">
        <v>50</v>
      </c>
      <c r="H84" t="s">
        <v>63</v>
      </c>
      <c r="I84">
        <v>5</v>
      </c>
      <c r="J84" t="str">
        <f>HYPERLINK("Gene2264-zp_tree_all.dnd", "Gene2264-tree")</f>
        <v>Gene2264-tree</v>
      </c>
      <c r="K84">
        <v>5</v>
      </c>
      <c r="L84">
        <v>0</v>
      </c>
      <c r="M84">
        <v>5</v>
      </c>
      <c r="N84">
        <v>0</v>
      </c>
      <c r="O84">
        <v>0</v>
      </c>
      <c r="P84" t="s">
        <v>96</v>
      </c>
      <c r="Q84" t="s">
        <v>66</v>
      </c>
      <c r="R84" t="s">
        <v>66</v>
      </c>
      <c r="S84" t="s">
        <v>66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3</v>
      </c>
      <c r="AI84">
        <v>1</v>
      </c>
      <c r="AJ84">
        <v>3</v>
      </c>
      <c r="AK84">
        <v>0</v>
      </c>
      <c r="AL84">
        <v>2</v>
      </c>
      <c r="AM84">
        <v>0</v>
      </c>
      <c r="AN84" t="s">
        <v>68</v>
      </c>
      <c r="AO84" t="s">
        <v>68</v>
      </c>
      <c r="AP84">
        <v>0</v>
      </c>
      <c r="AQ84" t="s">
        <v>69</v>
      </c>
      <c r="AR84">
        <v>5</v>
      </c>
      <c r="AS84">
        <v>0</v>
      </c>
      <c r="AT84">
        <v>1.6E-2</v>
      </c>
      <c r="AU84">
        <v>-2.3500000000000001E-3</v>
      </c>
      <c r="AV84">
        <v>8.6790000000000006E-2</v>
      </c>
      <c r="AW84">
        <v>-1.3339999999999999E-2</v>
      </c>
      <c r="AX84">
        <v>0</v>
      </c>
      <c r="AY84">
        <v>0</v>
      </c>
      <c r="AZ84">
        <v>0</v>
      </c>
      <c r="BA84">
        <v>1</v>
      </c>
      <c r="BB84" t="s">
        <v>70</v>
      </c>
      <c r="BC84">
        <v>0</v>
      </c>
      <c r="BD84">
        <v>0</v>
      </c>
      <c r="BE84" t="s">
        <v>139</v>
      </c>
    </row>
    <row r="85" spans="1:57">
      <c r="A85">
        <v>2279</v>
      </c>
      <c r="B85" t="s">
        <v>2183</v>
      </c>
      <c r="D85" t="s">
        <v>60</v>
      </c>
      <c r="E85" t="s">
        <v>2184</v>
      </c>
      <c r="F85" t="s">
        <v>2185</v>
      </c>
      <c r="G85">
        <v>206</v>
      </c>
      <c r="H85" t="s">
        <v>63</v>
      </c>
      <c r="I85">
        <v>5</v>
      </c>
      <c r="J85" t="str">
        <f>HYPERLINK("Gene2279-zp_tree_all.dnd", "Gene2279-tree")</f>
        <v>Gene2279-tree</v>
      </c>
      <c r="K85">
        <v>2</v>
      </c>
      <c r="L85">
        <v>3</v>
      </c>
      <c r="M85">
        <v>2</v>
      </c>
      <c r="N85">
        <v>3</v>
      </c>
      <c r="O85">
        <v>0.6</v>
      </c>
      <c r="P85" t="s">
        <v>124</v>
      </c>
      <c r="Q85" t="s">
        <v>86</v>
      </c>
      <c r="R85" t="s">
        <v>66</v>
      </c>
      <c r="S85" t="s">
        <v>66</v>
      </c>
      <c r="T85">
        <v>0</v>
      </c>
      <c r="U85">
        <v>0</v>
      </c>
      <c r="V85">
        <v>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5</v>
      </c>
      <c r="AG85">
        <v>0</v>
      </c>
      <c r="AH85">
        <v>4</v>
      </c>
      <c r="AI85">
        <v>2</v>
      </c>
      <c r="AJ85">
        <v>9</v>
      </c>
      <c r="AK85">
        <v>3</v>
      </c>
      <c r="AL85">
        <v>12</v>
      </c>
      <c r="AM85">
        <v>2</v>
      </c>
      <c r="AN85" t="s">
        <v>2186</v>
      </c>
      <c r="AO85" t="s">
        <v>2187</v>
      </c>
      <c r="AP85">
        <v>0.65</v>
      </c>
      <c r="AQ85" t="s">
        <v>69</v>
      </c>
      <c r="AR85">
        <v>21</v>
      </c>
      <c r="AS85">
        <v>5</v>
      </c>
      <c r="AT85">
        <v>2.1360000000000001E-2</v>
      </c>
      <c r="AU85">
        <v>-4.0299999999999997E-3</v>
      </c>
      <c r="AV85">
        <v>8.5860000000000006E-2</v>
      </c>
      <c r="AW85">
        <v>-1.7069999999999998E-2</v>
      </c>
      <c r="AX85">
        <v>5.0000000000000001E-3</v>
      </c>
      <c r="AY85">
        <v>-8.4999999999999995E-4</v>
      </c>
      <c r="AZ85">
        <v>5.8250000000000003E-2</v>
      </c>
      <c r="BA85">
        <v>1</v>
      </c>
      <c r="BB85" t="s">
        <v>70</v>
      </c>
      <c r="BC85">
        <v>0.43</v>
      </c>
      <c r="BD85">
        <v>0.43</v>
      </c>
      <c r="BE85" t="s">
        <v>139</v>
      </c>
    </row>
    <row r="86" spans="1:57">
      <c r="A86">
        <v>2336</v>
      </c>
      <c r="B86" t="s">
        <v>2272</v>
      </c>
      <c r="D86" t="s">
        <v>60</v>
      </c>
      <c r="E86" t="s">
        <v>2273</v>
      </c>
      <c r="F86" t="s">
        <v>74</v>
      </c>
      <c r="G86">
        <v>45</v>
      </c>
      <c r="H86" t="s">
        <v>63</v>
      </c>
      <c r="I86">
        <v>5</v>
      </c>
      <c r="J86" t="str">
        <f>HYPERLINK("Gene2336-zp_tree_all.dnd", "Gene2336-tree")</f>
        <v>Gene2336-tree</v>
      </c>
      <c r="K86">
        <v>5</v>
      </c>
      <c r="L86">
        <v>0</v>
      </c>
      <c r="M86">
        <v>4</v>
      </c>
      <c r="N86">
        <v>0</v>
      </c>
      <c r="O86">
        <v>0</v>
      </c>
      <c r="P86" t="s">
        <v>135</v>
      </c>
      <c r="Q86" t="s">
        <v>66</v>
      </c>
      <c r="R86" t="s">
        <v>66</v>
      </c>
      <c r="S86" t="s">
        <v>66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3</v>
      </c>
      <c r="AI86">
        <v>1</v>
      </c>
      <c r="AJ86">
        <v>5</v>
      </c>
      <c r="AK86">
        <v>0</v>
      </c>
      <c r="AL86">
        <v>2</v>
      </c>
      <c r="AM86">
        <v>0</v>
      </c>
      <c r="AN86" t="s">
        <v>68</v>
      </c>
      <c r="AO86" t="s">
        <v>68</v>
      </c>
      <c r="AP86">
        <v>0</v>
      </c>
      <c r="AQ86" t="s">
        <v>69</v>
      </c>
      <c r="AR86">
        <v>7</v>
      </c>
      <c r="AS86">
        <v>0</v>
      </c>
      <c r="AT86">
        <v>2.8400000000000002E-2</v>
      </c>
      <c r="AU86">
        <v>-4.0600000000000002E-3</v>
      </c>
      <c r="AV86">
        <v>0.15809000000000001</v>
      </c>
      <c r="AW86">
        <v>-2.3609999999999999E-2</v>
      </c>
      <c r="AX86">
        <v>0</v>
      </c>
      <c r="AY86">
        <v>0</v>
      </c>
      <c r="AZ86">
        <v>0</v>
      </c>
      <c r="BA86">
        <v>1</v>
      </c>
      <c r="BB86" t="s">
        <v>70</v>
      </c>
      <c r="BC86">
        <v>-0.33200000000000002</v>
      </c>
      <c r="BD86">
        <v>-0.33200000000000002</v>
      </c>
      <c r="BE86" t="s">
        <v>139</v>
      </c>
    </row>
    <row r="87" spans="1:57">
      <c r="A87">
        <v>2354</v>
      </c>
      <c r="B87" t="s">
        <v>2291</v>
      </c>
      <c r="D87" t="s">
        <v>60</v>
      </c>
      <c r="E87" t="s">
        <v>2292</v>
      </c>
      <c r="F87" t="s">
        <v>2293</v>
      </c>
      <c r="G87">
        <v>82</v>
      </c>
      <c r="H87" t="s">
        <v>63</v>
      </c>
      <c r="I87">
        <v>5</v>
      </c>
      <c r="J87" t="str">
        <f>HYPERLINK("Gene2354-zp_tree_all.dnd", "Gene2354-tree")</f>
        <v>Gene2354-tree</v>
      </c>
      <c r="K87">
        <v>5</v>
      </c>
      <c r="L87">
        <v>0</v>
      </c>
      <c r="M87">
        <v>4</v>
      </c>
      <c r="N87">
        <v>0</v>
      </c>
      <c r="O87">
        <v>0</v>
      </c>
      <c r="P87" t="s">
        <v>135</v>
      </c>
      <c r="Q87" t="s">
        <v>66</v>
      </c>
      <c r="R87" t="s">
        <v>66</v>
      </c>
      <c r="S87" t="s">
        <v>66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</v>
      </c>
      <c r="AI87">
        <v>1</v>
      </c>
      <c r="AJ87">
        <v>2</v>
      </c>
      <c r="AK87">
        <v>0</v>
      </c>
      <c r="AL87">
        <v>4</v>
      </c>
      <c r="AM87">
        <v>0</v>
      </c>
      <c r="AN87" t="s">
        <v>68</v>
      </c>
      <c r="AO87" t="s">
        <v>68</v>
      </c>
      <c r="AP87">
        <v>0</v>
      </c>
      <c r="AQ87" t="s">
        <v>69</v>
      </c>
      <c r="AR87">
        <v>6</v>
      </c>
      <c r="AS87">
        <v>0</v>
      </c>
      <c r="AT87">
        <v>1.491E-2</v>
      </c>
      <c r="AU87">
        <v>-3.2699999999999999E-3</v>
      </c>
      <c r="AV87">
        <v>7.1760000000000004E-2</v>
      </c>
      <c r="AW87">
        <v>-1.6109999999999999E-2</v>
      </c>
      <c r="AX87">
        <v>0</v>
      </c>
      <c r="AY87">
        <v>0</v>
      </c>
      <c r="AZ87">
        <v>0</v>
      </c>
      <c r="BA87">
        <v>1</v>
      </c>
      <c r="BB87" t="s">
        <v>70</v>
      </c>
      <c r="BC87">
        <v>0.76400000000000001</v>
      </c>
      <c r="BD87">
        <v>0.76400000000000001</v>
      </c>
      <c r="BE87" t="s">
        <v>139</v>
      </c>
    </row>
    <row r="88" spans="1:57">
      <c r="A88">
        <v>2439</v>
      </c>
      <c r="B88" t="s">
        <v>2386</v>
      </c>
      <c r="D88" t="s">
        <v>60</v>
      </c>
      <c r="E88" t="s">
        <v>2387</v>
      </c>
      <c r="F88" t="s">
        <v>74</v>
      </c>
      <c r="G88">
        <v>95</v>
      </c>
      <c r="H88" t="s">
        <v>63</v>
      </c>
      <c r="I88">
        <v>5</v>
      </c>
      <c r="J88" t="str">
        <f>HYPERLINK("Gene2439-zp_tree_all.dnd", "Gene2439-tree")</f>
        <v>Gene2439-tree</v>
      </c>
      <c r="K88">
        <v>3</v>
      </c>
      <c r="L88">
        <v>2</v>
      </c>
      <c r="M88">
        <v>3</v>
      </c>
      <c r="N88">
        <v>2</v>
      </c>
      <c r="O88">
        <v>0.4</v>
      </c>
      <c r="P88" t="s">
        <v>86</v>
      </c>
      <c r="Q88" t="s">
        <v>124</v>
      </c>
      <c r="R88" t="s">
        <v>66</v>
      </c>
      <c r="S88" t="s">
        <v>66</v>
      </c>
      <c r="T88">
        <v>0</v>
      </c>
      <c r="U88">
        <v>0</v>
      </c>
      <c r="V88">
        <v>4</v>
      </c>
      <c r="W88">
        <v>0</v>
      </c>
      <c r="X88">
        <v>0</v>
      </c>
      <c r="Y88">
        <v>0</v>
      </c>
      <c r="Z88">
        <v>0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3</v>
      </c>
      <c r="AI88">
        <v>2</v>
      </c>
      <c r="AJ88">
        <v>7</v>
      </c>
      <c r="AK88">
        <v>1</v>
      </c>
      <c r="AL88">
        <v>5</v>
      </c>
      <c r="AM88">
        <v>3</v>
      </c>
      <c r="AN88" t="s">
        <v>2388</v>
      </c>
      <c r="AO88" t="s">
        <v>2389</v>
      </c>
      <c r="AP88">
        <v>1.522</v>
      </c>
      <c r="AQ88" t="s">
        <v>69</v>
      </c>
      <c r="AR88">
        <v>12</v>
      </c>
      <c r="AS88">
        <v>4</v>
      </c>
      <c r="AT88">
        <v>2.6950000000000002E-2</v>
      </c>
      <c r="AU88">
        <v>-3.8300000000000001E-3</v>
      </c>
      <c r="AV88">
        <v>9.2810000000000004E-2</v>
      </c>
      <c r="AW88">
        <v>-1.5890000000000001E-2</v>
      </c>
      <c r="AX88">
        <v>1.013E-2</v>
      </c>
      <c r="AY88">
        <v>-1.5200000000000001E-3</v>
      </c>
      <c r="AZ88">
        <v>0.10918</v>
      </c>
      <c r="BA88">
        <v>1</v>
      </c>
      <c r="BB88" t="s">
        <v>70</v>
      </c>
      <c r="BC88">
        <v>0.40600000000000003</v>
      </c>
      <c r="BD88">
        <v>0</v>
      </c>
      <c r="BE88" t="s">
        <v>139</v>
      </c>
    </row>
    <row r="89" spans="1:57">
      <c r="A89">
        <v>2501</v>
      </c>
      <c r="B89" t="s">
        <v>2477</v>
      </c>
      <c r="D89" t="s">
        <v>60</v>
      </c>
      <c r="E89" t="s">
        <v>2478</v>
      </c>
      <c r="F89" t="s">
        <v>74</v>
      </c>
      <c r="G89">
        <v>131</v>
      </c>
      <c r="H89" t="s">
        <v>63</v>
      </c>
      <c r="I89">
        <v>5</v>
      </c>
      <c r="J89" t="str">
        <f>HYPERLINK("Gene2501-zp_tree_all.dnd", "Gene2501-tree")</f>
        <v>Gene2501-tree</v>
      </c>
      <c r="K89">
        <v>3</v>
      </c>
      <c r="L89">
        <v>2</v>
      </c>
      <c r="M89">
        <v>3</v>
      </c>
      <c r="N89">
        <v>2</v>
      </c>
      <c r="O89">
        <v>0.4</v>
      </c>
      <c r="P89" t="s">
        <v>86</v>
      </c>
      <c r="Q89" t="s">
        <v>124</v>
      </c>
      <c r="R89" t="s">
        <v>66</v>
      </c>
      <c r="S89" t="s">
        <v>66</v>
      </c>
      <c r="T89">
        <v>0</v>
      </c>
      <c r="U89">
        <v>0</v>
      </c>
      <c r="V89">
        <v>3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3</v>
      </c>
      <c r="AG89">
        <v>0</v>
      </c>
      <c r="AH89">
        <v>4</v>
      </c>
      <c r="AI89">
        <v>2</v>
      </c>
      <c r="AJ89">
        <v>7</v>
      </c>
      <c r="AK89">
        <v>3</v>
      </c>
      <c r="AL89">
        <v>3</v>
      </c>
      <c r="AM89">
        <v>0</v>
      </c>
      <c r="AN89" t="s">
        <v>2479</v>
      </c>
      <c r="AO89" t="s">
        <v>68</v>
      </c>
      <c r="AP89">
        <v>1.375</v>
      </c>
      <c r="AQ89" t="s">
        <v>69</v>
      </c>
      <c r="AR89">
        <v>10</v>
      </c>
      <c r="AS89">
        <v>3</v>
      </c>
      <c r="AT89">
        <v>1.4760000000000001E-2</v>
      </c>
      <c r="AU89">
        <v>-2.0600000000000002E-3</v>
      </c>
      <c r="AV89">
        <v>5.3650000000000003E-2</v>
      </c>
      <c r="AW89">
        <v>-7.2199999999999999E-3</v>
      </c>
      <c r="AX89">
        <v>3.9699999999999996E-3</v>
      </c>
      <c r="AY89">
        <v>-1.0300000000000001E-3</v>
      </c>
      <c r="AZ89">
        <v>7.3999999999999996E-2</v>
      </c>
      <c r="BA89">
        <v>1</v>
      </c>
      <c r="BB89" t="s">
        <v>70</v>
      </c>
      <c r="BC89">
        <v>-0.51200000000000001</v>
      </c>
      <c r="BD89">
        <v>-0.51200000000000001</v>
      </c>
      <c r="BE89" t="s">
        <v>139</v>
      </c>
    </row>
    <row r="90" spans="1:57">
      <c r="A90">
        <v>2505</v>
      </c>
      <c r="B90" t="s">
        <v>2492</v>
      </c>
      <c r="D90" t="s">
        <v>60</v>
      </c>
      <c r="E90" t="s">
        <v>2493</v>
      </c>
      <c r="F90" t="s">
        <v>74</v>
      </c>
      <c r="G90">
        <v>126</v>
      </c>
      <c r="H90" t="s">
        <v>106</v>
      </c>
      <c r="I90">
        <v>4</v>
      </c>
      <c r="J90" t="str">
        <f>HYPERLINK("Gene2505-zp_tree_all.dnd", "Gene2505-tree")</f>
        <v>Gene2505-tree</v>
      </c>
      <c r="K90">
        <v>4</v>
      </c>
      <c r="L90">
        <v>0</v>
      </c>
      <c r="M90">
        <v>4</v>
      </c>
      <c r="N90">
        <v>0</v>
      </c>
      <c r="O90">
        <v>0</v>
      </c>
      <c r="P90" t="s">
        <v>64</v>
      </c>
      <c r="Q90" t="s">
        <v>66</v>
      </c>
      <c r="R90" t="s">
        <v>66</v>
      </c>
      <c r="S90" t="s">
        <v>66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3</v>
      </c>
      <c r="AI90">
        <v>1</v>
      </c>
      <c r="AJ90">
        <v>15</v>
      </c>
      <c r="AK90">
        <v>0</v>
      </c>
      <c r="AL90">
        <v>2</v>
      </c>
      <c r="AM90">
        <v>1</v>
      </c>
      <c r="AN90" t="s">
        <v>68</v>
      </c>
      <c r="AO90" t="s">
        <v>2494</v>
      </c>
      <c r="AP90">
        <v>0</v>
      </c>
      <c r="AQ90" t="s">
        <v>69</v>
      </c>
      <c r="AR90">
        <v>17</v>
      </c>
      <c r="AS90">
        <v>1</v>
      </c>
      <c r="AT90">
        <v>2.513E-2</v>
      </c>
      <c r="AU90">
        <v>-6.1999999999999998E-3</v>
      </c>
      <c r="AV90">
        <v>0.11434</v>
      </c>
      <c r="AW90">
        <v>-3.116E-2</v>
      </c>
      <c r="AX90">
        <v>2.2899999999999999E-3</v>
      </c>
      <c r="AY90">
        <v>-5.4000000000000001E-4</v>
      </c>
      <c r="AZ90">
        <v>2.001E-2</v>
      </c>
      <c r="BA90">
        <v>1</v>
      </c>
      <c r="BB90" t="s">
        <v>70</v>
      </c>
      <c r="BC90">
        <v>-0.33100000000000002</v>
      </c>
      <c r="BD90">
        <v>-0.33100000000000002</v>
      </c>
      <c r="BE90" t="s">
        <v>139</v>
      </c>
    </row>
    <row r="91" spans="1:57">
      <c r="A91">
        <v>2529</v>
      </c>
      <c r="B91" t="s">
        <v>2505</v>
      </c>
      <c r="D91" t="s">
        <v>60</v>
      </c>
      <c r="E91" t="s">
        <v>2506</v>
      </c>
      <c r="F91" t="s">
        <v>74</v>
      </c>
      <c r="G91">
        <v>81</v>
      </c>
      <c r="H91" t="s">
        <v>63</v>
      </c>
      <c r="I91">
        <v>5</v>
      </c>
      <c r="J91" t="str">
        <f>HYPERLINK("Gene2529-zp_tree_all.dnd", "Gene2529-tree")</f>
        <v>Gene2529-tree</v>
      </c>
      <c r="K91">
        <v>5</v>
      </c>
      <c r="L91">
        <v>0</v>
      </c>
      <c r="M91">
        <v>5</v>
      </c>
      <c r="N91">
        <v>0</v>
      </c>
      <c r="O91">
        <v>0</v>
      </c>
      <c r="P91" t="s">
        <v>96</v>
      </c>
      <c r="Q91" t="s">
        <v>66</v>
      </c>
      <c r="R91" t="s">
        <v>66</v>
      </c>
      <c r="S91" t="s">
        <v>66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5</v>
      </c>
      <c r="AI91">
        <v>2</v>
      </c>
      <c r="AJ91">
        <v>6</v>
      </c>
      <c r="AK91">
        <v>0</v>
      </c>
      <c r="AL91">
        <v>3</v>
      </c>
      <c r="AM91">
        <v>0</v>
      </c>
      <c r="AN91" t="s">
        <v>68</v>
      </c>
      <c r="AO91" t="s">
        <v>68</v>
      </c>
      <c r="AP91">
        <v>0</v>
      </c>
      <c r="AQ91" t="s">
        <v>69</v>
      </c>
      <c r="AR91">
        <v>9</v>
      </c>
      <c r="AS91">
        <v>0</v>
      </c>
      <c r="AT91">
        <v>1.6459999999999999E-2</v>
      </c>
      <c r="AU91">
        <v>-1.65E-3</v>
      </c>
      <c r="AV91">
        <v>7.596E-2</v>
      </c>
      <c r="AW91">
        <v>-7.9900000000000006E-3</v>
      </c>
      <c r="AX91">
        <v>0</v>
      </c>
      <c r="AY91">
        <v>0</v>
      </c>
      <c r="AZ91">
        <v>0</v>
      </c>
      <c r="BA91">
        <v>1</v>
      </c>
      <c r="BB91" t="s">
        <v>70</v>
      </c>
      <c r="BC91">
        <v>0.29399999999999998</v>
      </c>
      <c r="BD91">
        <v>-0.44</v>
      </c>
      <c r="BE91" t="s">
        <v>139</v>
      </c>
    </row>
    <row r="92" spans="1:57">
      <c r="A92">
        <v>2544</v>
      </c>
      <c r="B92" t="s">
        <v>2508</v>
      </c>
      <c r="D92" t="s">
        <v>60</v>
      </c>
      <c r="E92" t="s">
        <v>2509</v>
      </c>
      <c r="F92" t="s">
        <v>74</v>
      </c>
      <c r="G92">
        <v>117</v>
      </c>
      <c r="H92" t="s">
        <v>63</v>
      </c>
      <c r="I92">
        <v>5</v>
      </c>
      <c r="J92" t="str">
        <f>HYPERLINK("Gene2544-zp_tree_all.dnd", "Gene2544-tree")</f>
        <v>Gene2544-tree</v>
      </c>
      <c r="K92">
        <v>5</v>
      </c>
      <c r="L92">
        <v>0</v>
      </c>
      <c r="M92">
        <v>5</v>
      </c>
      <c r="N92">
        <v>0</v>
      </c>
      <c r="O92">
        <v>0</v>
      </c>
      <c r="P92" t="s">
        <v>96</v>
      </c>
      <c r="Q92" t="s">
        <v>66</v>
      </c>
      <c r="R92" t="s">
        <v>66</v>
      </c>
      <c r="S92" t="s">
        <v>66</v>
      </c>
      <c r="T92">
        <v>0</v>
      </c>
      <c r="U92">
        <v>0</v>
      </c>
      <c r="V92">
        <v>2</v>
      </c>
      <c r="W92">
        <v>0</v>
      </c>
      <c r="X92">
        <v>0</v>
      </c>
      <c r="Y92">
        <v>0</v>
      </c>
      <c r="Z92">
        <v>0</v>
      </c>
      <c r="AA92">
        <v>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5</v>
      </c>
      <c r="AI92">
        <v>2</v>
      </c>
      <c r="AJ92">
        <v>6</v>
      </c>
      <c r="AK92">
        <v>0</v>
      </c>
      <c r="AL92">
        <v>7</v>
      </c>
      <c r="AM92">
        <v>2</v>
      </c>
      <c r="AN92" t="s">
        <v>68</v>
      </c>
      <c r="AO92" t="s">
        <v>2510</v>
      </c>
      <c r="AP92">
        <v>1.4139999999999999</v>
      </c>
      <c r="AQ92" t="s">
        <v>69</v>
      </c>
      <c r="AR92">
        <v>13</v>
      </c>
      <c r="AS92">
        <v>2</v>
      </c>
      <c r="AT92">
        <v>2.222E-2</v>
      </c>
      <c r="AU92">
        <v>-3.7499999999999999E-3</v>
      </c>
      <c r="AV92">
        <v>9.4700000000000006E-2</v>
      </c>
      <c r="AW92">
        <v>-1.6760000000000001E-2</v>
      </c>
      <c r="AX92">
        <v>4.3699999999999998E-3</v>
      </c>
      <c r="AY92">
        <v>-7.3999999999999999E-4</v>
      </c>
      <c r="AZ92">
        <v>4.6199999999999998E-2</v>
      </c>
      <c r="BA92">
        <v>1</v>
      </c>
      <c r="BB92" t="s">
        <v>70</v>
      </c>
      <c r="BC92">
        <v>0.60899999999999999</v>
      </c>
      <c r="BD92">
        <v>0.60899999999999999</v>
      </c>
      <c r="BE92" t="s">
        <v>139</v>
      </c>
    </row>
    <row r="93" spans="1:57">
      <c r="A93">
        <v>2558</v>
      </c>
      <c r="B93" t="s">
        <v>2521</v>
      </c>
      <c r="D93" t="s">
        <v>60</v>
      </c>
      <c r="E93" t="s">
        <v>2522</v>
      </c>
      <c r="F93" t="s">
        <v>2523</v>
      </c>
      <c r="G93">
        <v>377</v>
      </c>
      <c r="H93" t="s">
        <v>63</v>
      </c>
      <c r="I93">
        <v>5</v>
      </c>
      <c r="J93" t="str">
        <f>HYPERLINK("Gene2558-zp_tree_all.dnd", "Gene2558-tree")</f>
        <v>Gene2558-tree</v>
      </c>
      <c r="K93">
        <v>4</v>
      </c>
      <c r="L93">
        <v>1</v>
      </c>
      <c r="M93">
        <v>4</v>
      </c>
      <c r="N93">
        <v>1</v>
      </c>
      <c r="O93">
        <v>0.2</v>
      </c>
      <c r="P93" t="s">
        <v>64</v>
      </c>
      <c r="Q93" t="s">
        <v>65</v>
      </c>
      <c r="R93" t="s">
        <v>66</v>
      </c>
      <c r="S93" t="s">
        <v>66</v>
      </c>
      <c r="T93">
        <v>0</v>
      </c>
      <c r="U93">
        <v>0</v>
      </c>
      <c r="V93">
        <v>5</v>
      </c>
      <c r="W93">
        <v>0</v>
      </c>
      <c r="X93">
        <v>0</v>
      </c>
      <c r="Y93">
        <v>0</v>
      </c>
      <c r="Z93">
        <v>0</v>
      </c>
      <c r="AA93">
        <v>2</v>
      </c>
      <c r="AB93">
        <v>0</v>
      </c>
      <c r="AC93">
        <v>0</v>
      </c>
      <c r="AD93">
        <v>0</v>
      </c>
      <c r="AE93">
        <v>0</v>
      </c>
      <c r="AF93">
        <v>3</v>
      </c>
      <c r="AG93">
        <v>0</v>
      </c>
      <c r="AH93">
        <v>5</v>
      </c>
      <c r="AI93">
        <v>2</v>
      </c>
      <c r="AJ93">
        <v>36</v>
      </c>
      <c r="AK93">
        <v>3</v>
      </c>
      <c r="AL93">
        <v>38</v>
      </c>
      <c r="AM93">
        <v>3</v>
      </c>
      <c r="AN93" t="s">
        <v>2524</v>
      </c>
      <c r="AO93" t="s">
        <v>2525</v>
      </c>
      <c r="AP93">
        <v>4.9000000000000002E-2</v>
      </c>
      <c r="AQ93" t="s">
        <v>69</v>
      </c>
      <c r="AR93">
        <v>74</v>
      </c>
      <c r="AS93">
        <v>6</v>
      </c>
      <c r="AT93">
        <v>3.4840000000000003E-2</v>
      </c>
      <c r="AU93">
        <v>-6.1999999999999998E-3</v>
      </c>
      <c r="AV93">
        <v>0.15476000000000001</v>
      </c>
      <c r="AW93">
        <v>-2.8219999999999999E-2</v>
      </c>
      <c r="AX93">
        <v>3.49E-3</v>
      </c>
      <c r="AY93">
        <v>-8.5999999999999998E-4</v>
      </c>
      <c r="AZ93">
        <v>2.257E-2</v>
      </c>
      <c r="BA93">
        <v>1</v>
      </c>
      <c r="BB93" t="s">
        <v>70</v>
      </c>
      <c r="BC93">
        <v>0.501</v>
      </c>
      <c r="BD93">
        <v>0.21299999999999999</v>
      </c>
      <c r="BE93" t="s">
        <v>139</v>
      </c>
    </row>
    <row r="94" spans="1:57">
      <c r="A94">
        <v>2573</v>
      </c>
      <c r="B94" t="s">
        <v>2534</v>
      </c>
      <c r="D94" t="s">
        <v>60</v>
      </c>
      <c r="E94" t="s">
        <v>2535</v>
      </c>
      <c r="F94" t="s">
        <v>2536</v>
      </c>
      <c r="G94">
        <v>98</v>
      </c>
      <c r="H94" t="s">
        <v>63</v>
      </c>
      <c r="I94">
        <v>5</v>
      </c>
      <c r="J94" t="str">
        <f>HYPERLINK("Gene2573-zp_tree_all.dnd", "Gene2573-tree")</f>
        <v>Gene2573-tree</v>
      </c>
      <c r="K94">
        <v>2</v>
      </c>
      <c r="L94">
        <v>3</v>
      </c>
      <c r="M94">
        <v>2</v>
      </c>
      <c r="N94">
        <v>3</v>
      </c>
      <c r="O94">
        <v>0.6</v>
      </c>
      <c r="P94" t="s">
        <v>124</v>
      </c>
      <c r="Q94" t="s">
        <v>86</v>
      </c>
      <c r="R94" t="s">
        <v>66</v>
      </c>
      <c r="S94" t="s">
        <v>66</v>
      </c>
      <c r="T94">
        <v>0</v>
      </c>
      <c r="U94">
        <v>0</v>
      </c>
      <c r="V94">
        <v>7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7</v>
      </c>
      <c r="AG94">
        <v>0</v>
      </c>
      <c r="AH94">
        <v>4</v>
      </c>
      <c r="AI94">
        <v>1</v>
      </c>
      <c r="AJ94">
        <v>1</v>
      </c>
      <c r="AK94">
        <v>6</v>
      </c>
      <c r="AL94">
        <v>0</v>
      </c>
      <c r="AM94">
        <v>1</v>
      </c>
      <c r="AN94" t="s">
        <v>2537</v>
      </c>
      <c r="AO94" t="s">
        <v>68</v>
      </c>
      <c r="AP94">
        <v>0.6</v>
      </c>
      <c r="AQ94" t="s">
        <v>69</v>
      </c>
      <c r="AR94">
        <v>1</v>
      </c>
      <c r="AS94">
        <v>7</v>
      </c>
      <c r="AT94">
        <v>1.1679999999999999E-2</v>
      </c>
      <c r="AU94">
        <v>-1E-3</v>
      </c>
      <c r="AV94">
        <v>6.3600000000000002E-3</v>
      </c>
      <c r="AW94">
        <v>-2.2000000000000001E-3</v>
      </c>
      <c r="AX94">
        <v>1.333E-2</v>
      </c>
      <c r="AY94">
        <v>-1.5399999999999999E-3</v>
      </c>
      <c r="AZ94">
        <v>2.09653</v>
      </c>
      <c r="BA94">
        <v>0.14399999999999999</v>
      </c>
      <c r="BB94" t="s">
        <v>188</v>
      </c>
      <c r="BC94">
        <v>-0.80700000000000005</v>
      </c>
      <c r="BD94">
        <v>-0.80700000000000005</v>
      </c>
      <c r="BE94" t="s">
        <v>139</v>
      </c>
    </row>
    <row r="95" spans="1:57">
      <c r="A95">
        <v>2609</v>
      </c>
      <c r="B95" t="s">
        <v>2613</v>
      </c>
      <c r="D95" t="s">
        <v>60</v>
      </c>
      <c r="E95" t="s">
        <v>2614</v>
      </c>
      <c r="F95" t="s">
        <v>74</v>
      </c>
      <c r="G95">
        <v>44</v>
      </c>
      <c r="H95" t="s">
        <v>63</v>
      </c>
      <c r="I95">
        <v>5</v>
      </c>
      <c r="J95" t="str">
        <f>HYPERLINK("Gene2609-zp_tree_all.dnd", "Gene2609-tree")</f>
        <v>Gene2609-tree</v>
      </c>
      <c r="K95">
        <v>4</v>
      </c>
      <c r="L95">
        <v>1</v>
      </c>
      <c r="M95">
        <v>3</v>
      </c>
      <c r="N95">
        <v>1</v>
      </c>
      <c r="O95">
        <v>0.25</v>
      </c>
      <c r="P95" t="s">
        <v>112</v>
      </c>
      <c r="Q95" t="s">
        <v>65</v>
      </c>
      <c r="R95" t="s">
        <v>66</v>
      </c>
      <c r="S95" t="s">
        <v>66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4</v>
      </c>
      <c r="AI95">
        <v>0</v>
      </c>
      <c r="AJ95">
        <v>3</v>
      </c>
      <c r="AK95">
        <v>1</v>
      </c>
      <c r="AL95">
        <v>0</v>
      </c>
      <c r="AM95">
        <v>0</v>
      </c>
      <c r="AN95" t="s">
        <v>2615</v>
      </c>
      <c r="AO95" t="s">
        <v>68</v>
      </c>
      <c r="AP95">
        <v>0.6</v>
      </c>
      <c r="AQ95" t="s">
        <v>69</v>
      </c>
      <c r="AR95">
        <v>3</v>
      </c>
      <c r="AS95">
        <v>1</v>
      </c>
      <c r="AT95">
        <v>1.389E-2</v>
      </c>
      <c r="AU95">
        <v>-1.15E-3</v>
      </c>
      <c r="AV95">
        <v>4.6399999999999997E-2</v>
      </c>
      <c r="AW95">
        <v>-6.94E-3</v>
      </c>
      <c r="AX95">
        <v>4.9199999999999999E-3</v>
      </c>
      <c r="AY95">
        <v>-1.42E-3</v>
      </c>
      <c r="AZ95">
        <v>0.10607</v>
      </c>
      <c r="BA95">
        <v>0.98099999999999998</v>
      </c>
      <c r="BB95" t="s">
        <v>70</v>
      </c>
      <c r="BC95">
        <v>0.69899999999999995</v>
      </c>
      <c r="BD95">
        <v>-1.048</v>
      </c>
      <c r="BE95" t="s">
        <v>139</v>
      </c>
    </row>
    <row r="96" spans="1:57">
      <c r="A96">
        <v>2613</v>
      </c>
      <c r="B96" t="s">
        <v>2616</v>
      </c>
      <c r="D96" t="s">
        <v>60</v>
      </c>
      <c r="E96" t="s">
        <v>2617</v>
      </c>
      <c r="F96" t="s">
        <v>2618</v>
      </c>
      <c r="G96">
        <v>273</v>
      </c>
      <c r="H96" t="s">
        <v>85</v>
      </c>
      <c r="I96">
        <v>4</v>
      </c>
      <c r="J96" t="str">
        <f>HYPERLINK("Gene2613-zp_tree_all.dnd", "Gene2613-tree")</f>
        <v>Gene2613-tree</v>
      </c>
      <c r="K96">
        <v>1</v>
      </c>
      <c r="L96">
        <v>3</v>
      </c>
      <c r="M96">
        <v>1</v>
      </c>
      <c r="N96">
        <v>3</v>
      </c>
      <c r="O96">
        <v>0.75</v>
      </c>
      <c r="P96" t="s">
        <v>65</v>
      </c>
      <c r="Q96" t="s">
        <v>86</v>
      </c>
      <c r="R96" t="s">
        <v>66</v>
      </c>
      <c r="S96" t="s">
        <v>66</v>
      </c>
      <c r="T96">
        <v>0</v>
      </c>
      <c r="U96">
        <v>0</v>
      </c>
      <c r="V96">
        <v>7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7</v>
      </c>
      <c r="AG96">
        <v>0</v>
      </c>
      <c r="AH96">
        <v>3</v>
      </c>
      <c r="AI96">
        <v>1</v>
      </c>
      <c r="AJ96">
        <v>47</v>
      </c>
      <c r="AK96">
        <v>7</v>
      </c>
      <c r="AL96">
        <v>1</v>
      </c>
      <c r="AM96">
        <v>0</v>
      </c>
      <c r="AN96" t="s">
        <v>2619</v>
      </c>
      <c r="AO96" t="s">
        <v>68</v>
      </c>
      <c r="AP96">
        <v>1.5069999999999999</v>
      </c>
      <c r="AQ96" t="s">
        <v>69</v>
      </c>
      <c r="AR96">
        <v>48</v>
      </c>
      <c r="AS96">
        <v>7</v>
      </c>
      <c r="AT96">
        <v>3.3579999999999999E-2</v>
      </c>
      <c r="AU96">
        <v>-8.1399999999999997E-3</v>
      </c>
      <c r="AV96">
        <v>0.14943000000000001</v>
      </c>
      <c r="AW96">
        <v>-4.3189999999999999E-2</v>
      </c>
      <c r="AX96">
        <v>5.5500000000000002E-3</v>
      </c>
      <c r="AY96">
        <v>-1.1100000000000001E-3</v>
      </c>
      <c r="AZ96">
        <v>3.7139999999999999E-2</v>
      </c>
      <c r="BA96">
        <v>1</v>
      </c>
      <c r="BB96" t="s">
        <v>70</v>
      </c>
      <c r="BC96">
        <v>-0.69099999999999995</v>
      </c>
      <c r="BD96">
        <v>-0.86799999999999999</v>
      </c>
      <c r="BE96" t="s">
        <v>139</v>
      </c>
    </row>
    <row r="97" spans="1:57">
      <c r="A97">
        <v>2734</v>
      </c>
      <c r="B97" t="s">
        <v>2637</v>
      </c>
      <c r="D97" t="s">
        <v>60</v>
      </c>
      <c r="E97" t="s">
        <v>2638</v>
      </c>
      <c r="F97" t="s">
        <v>2639</v>
      </c>
      <c r="G97">
        <v>326</v>
      </c>
      <c r="H97" t="s">
        <v>85</v>
      </c>
      <c r="I97">
        <v>4</v>
      </c>
      <c r="J97" t="str">
        <f>HYPERLINK("Gene2734-zp_tree_all.dnd", "Gene2734-tree")</f>
        <v>Gene2734-tree</v>
      </c>
      <c r="K97">
        <v>1</v>
      </c>
      <c r="L97">
        <v>3</v>
      </c>
      <c r="M97">
        <v>1</v>
      </c>
      <c r="N97">
        <v>3</v>
      </c>
      <c r="O97">
        <v>0.75</v>
      </c>
      <c r="P97" t="s">
        <v>65</v>
      </c>
      <c r="Q97" t="s">
        <v>86</v>
      </c>
      <c r="R97" t="s">
        <v>66</v>
      </c>
      <c r="S97" t="s">
        <v>66</v>
      </c>
      <c r="T97">
        <v>0</v>
      </c>
      <c r="U97">
        <v>0</v>
      </c>
      <c r="V97">
        <v>12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12</v>
      </c>
      <c r="AG97">
        <v>0</v>
      </c>
      <c r="AH97">
        <v>4</v>
      </c>
      <c r="AI97">
        <v>1</v>
      </c>
      <c r="AJ97">
        <v>44</v>
      </c>
      <c r="AK97">
        <v>12</v>
      </c>
      <c r="AL97">
        <v>1</v>
      </c>
      <c r="AM97">
        <v>0</v>
      </c>
      <c r="AN97" t="s">
        <v>2640</v>
      </c>
      <c r="AO97" t="s">
        <v>68</v>
      </c>
      <c r="AP97">
        <v>0.74299999999999999</v>
      </c>
      <c r="AQ97" t="s">
        <v>69</v>
      </c>
      <c r="AR97">
        <v>45</v>
      </c>
      <c r="AS97">
        <v>12</v>
      </c>
      <c r="AT97">
        <v>2.8969999999999999E-2</v>
      </c>
      <c r="AU97">
        <v>-8.2400000000000008E-3</v>
      </c>
      <c r="AV97">
        <v>0.11078</v>
      </c>
      <c r="AW97">
        <v>-3.4279999999999998E-2</v>
      </c>
      <c r="AX97">
        <v>8.0300000000000007E-3</v>
      </c>
      <c r="AY97">
        <v>-1.9E-3</v>
      </c>
      <c r="AZ97">
        <v>7.2510000000000005E-2</v>
      </c>
      <c r="BA97">
        <v>1</v>
      </c>
      <c r="BB97" t="s">
        <v>70</v>
      </c>
      <c r="BC97">
        <v>-0.755</v>
      </c>
      <c r="BD97">
        <v>-0.755</v>
      </c>
      <c r="BE97" t="s">
        <v>139</v>
      </c>
    </row>
    <row r="98" spans="1:57">
      <c r="A98">
        <v>2739</v>
      </c>
      <c r="B98" t="s">
        <v>2641</v>
      </c>
      <c r="D98" t="s">
        <v>60</v>
      </c>
      <c r="E98" t="s">
        <v>2642</v>
      </c>
      <c r="F98" t="s">
        <v>74</v>
      </c>
      <c r="G98">
        <v>87</v>
      </c>
      <c r="H98" t="s">
        <v>85</v>
      </c>
      <c r="I98">
        <v>4</v>
      </c>
      <c r="J98" t="str">
        <f>HYPERLINK("Gene2739-zp_tree_all.dnd", "Gene2739-tree")</f>
        <v>Gene2739-tree</v>
      </c>
      <c r="K98">
        <v>0</v>
      </c>
      <c r="L98">
        <v>4</v>
      </c>
      <c r="M98">
        <v>0</v>
      </c>
      <c r="N98">
        <v>4</v>
      </c>
      <c r="O98">
        <v>1</v>
      </c>
      <c r="P98" t="s">
        <v>66</v>
      </c>
      <c r="Q98" t="s">
        <v>64</v>
      </c>
      <c r="R98" t="s">
        <v>66</v>
      </c>
      <c r="S98" t="s">
        <v>66</v>
      </c>
      <c r="T98">
        <v>1</v>
      </c>
      <c r="U98">
        <v>2</v>
      </c>
      <c r="V98">
        <v>8</v>
      </c>
      <c r="W98">
        <v>0.2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</v>
      </c>
      <c r="AE98">
        <v>2</v>
      </c>
      <c r="AF98">
        <v>8</v>
      </c>
      <c r="AG98">
        <v>0.2</v>
      </c>
      <c r="AH98">
        <v>3</v>
      </c>
      <c r="AI98">
        <v>1</v>
      </c>
      <c r="AJ98">
        <v>2</v>
      </c>
      <c r="AK98">
        <v>10</v>
      </c>
      <c r="AL98">
        <v>1</v>
      </c>
      <c r="AM98">
        <v>1</v>
      </c>
      <c r="AN98" t="s">
        <v>2643</v>
      </c>
      <c r="AO98" t="s">
        <v>2644</v>
      </c>
      <c r="AP98">
        <v>2.1589999999999998</v>
      </c>
      <c r="AQ98" t="s">
        <v>239</v>
      </c>
      <c r="AR98">
        <v>3</v>
      </c>
      <c r="AS98">
        <v>11</v>
      </c>
      <c r="AT98">
        <v>2.81E-2</v>
      </c>
      <c r="AU98">
        <v>-4.1099999999999999E-3</v>
      </c>
      <c r="AV98">
        <v>2.9159999999999998E-2</v>
      </c>
      <c r="AW98">
        <v>-5.4400000000000004E-3</v>
      </c>
      <c r="AX98">
        <v>2.86E-2</v>
      </c>
      <c r="AY98">
        <v>-4.4799999999999996E-3</v>
      </c>
      <c r="AZ98">
        <v>0.98065999999999998</v>
      </c>
      <c r="BA98">
        <v>0.55700000000000005</v>
      </c>
      <c r="BB98" t="s">
        <v>188</v>
      </c>
      <c r="BC98">
        <v>-0.40300000000000002</v>
      </c>
      <c r="BD98">
        <v>-0.40300000000000002</v>
      </c>
      <c r="BE98" t="s">
        <v>139</v>
      </c>
    </row>
    <row r="99" spans="1:57">
      <c r="A99">
        <v>2761</v>
      </c>
      <c r="B99" t="s">
        <v>2650</v>
      </c>
      <c r="D99" t="s">
        <v>60</v>
      </c>
      <c r="E99" t="s">
        <v>2651</v>
      </c>
      <c r="F99" t="s">
        <v>2652</v>
      </c>
      <c r="G99">
        <v>166</v>
      </c>
      <c r="H99" t="s">
        <v>2653</v>
      </c>
      <c r="I99">
        <v>4</v>
      </c>
      <c r="J99" t="str">
        <f>HYPERLINK("Gene2761-zp_tree_all.dnd", "Gene2761-tree")</f>
        <v>Gene2761-tree</v>
      </c>
      <c r="K99">
        <v>2</v>
      </c>
      <c r="L99">
        <v>2</v>
      </c>
      <c r="M99">
        <v>2</v>
      </c>
      <c r="N99">
        <v>2</v>
      </c>
      <c r="O99">
        <v>0.5</v>
      </c>
      <c r="P99" t="s">
        <v>124</v>
      </c>
      <c r="Q99" t="s">
        <v>124</v>
      </c>
      <c r="R99" t="s">
        <v>66</v>
      </c>
      <c r="S99" t="s">
        <v>66</v>
      </c>
      <c r="T99">
        <v>1</v>
      </c>
      <c r="U99">
        <v>2</v>
      </c>
      <c r="V99">
        <v>4</v>
      </c>
      <c r="W99">
        <v>0.33333000000000002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</v>
      </c>
      <c r="AE99">
        <v>2</v>
      </c>
      <c r="AF99">
        <v>4</v>
      </c>
      <c r="AG99">
        <v>0.33333000000000002</v>
      </c>
      <c r="AH99">
        <v>4</v>
      </c>
      <c r="AI99">
        <v>1</v>
      </c>
      <c r="AJ99">
        <v>6</v>
      </c>
      <c r="AK99">
        <v>3</v>
      </c>
      <c r="AL99">
        <v>8</v>
      </c>
      <c r="AM99">
        <v>3</v>
      </c>
      <c r="AN99" t="s">
        <v>2654</v>
      </c>
      <c r="AO99" t="s">
        <v>2655</v>
      </c>
      <c r="AP99">
        <v>0.41899999999999998</v>
      </c>
      <c r="AQ99" t="s">
        <v>69</v>
      </c>
      <c r="AR99">
        <v>14</v>
      </c>
      <c r="AS99">
        <v>6</v>
      </c>
      <c r="AT99">
        <v>2.3089999999999999E-2</v>
      </c>
      <c r="AU99">
        <v>-4.2300000000000003E-3</v>
      </c>
      <c r="AV99">
        <v>8.6279999999999996E-2</v>
      </c>
      <c r="AW99">
        <v>-1.652E-2</v>
      </c>
      <c r="AX99">
        <v>8.0800000000000004E-3</v>
      </c>
      <c r="AY99">
        <v>-1.5200000000000001E-3</v>
      </c>
      <c r="AZ99">
        <v>9.3640000000000001E-2</v>
      </c>
      <c r="BA99">
        <v>1</v>
      </c>
      <c r="BB99" t="s">
        <v>70</v>
      </c>
      <c r="BC99">
        <v>1.123</v>
      </c>
      <c r="BD99">
        <v>0.629</v>
      </c>
      <c r="BE99" t="s">
        <v>139</v>
      </c>
    </row>
    <row r="100" spans="1:57">
      <c r="A100">
        <v>2778</v>
      </c>
      <c r="B100" t="s">
        <v>2659</v>
      </c>
      <c r="D100" t="s">
        <v>60</v>
      </c>
      <c r="E100" t="s">
        <v>2660</v>
      </c>
      <c r="F100" t="s">
        <v>74</v>
      </c>
      <c r="G100">
        <v>67</v>
      </c>
      <c r="H100" t="s">
        <v>63</v>
      </c>
      <c r="I100">
        <v>5</v>
      </c>
      <c r="J100" t="str">
        <f>HYPERLINK("Gene2778-zp_tree_all.dnd", "Gene2778-tree")</f>
        <v>Gene2778-tree</v>
      </c>
      <c r="K100">
        <v>4</v>
      </c>
      <c r="L100">
        <v>1</v>
      </c>
      <c r="M100">
        <v>4</v>
      </c>
      <c r="N100">
        <v>1</v>
      </c>
      <c r="O100">
        <v>0.2</v>
      </c>
      <c r="P100" t="s">
        <v>64</v>
      </c>
      <c r="Q100" t="s">
        <v>65</v>
      </c>
      <c r="R100" t="s">
        <v>66</v>
      </c>
      <c r="S100" t="s">
        <v>66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2</v>
      </c>
      <c r="AG100">
        <v>0</v>
      </c>
      <c r="AH100">
        <v>4</v>
      </c>
      <c r="AI100">
        <v>2</v>
      </c>
      <c r="AJ100">
        <v>4</v>
      </c>
      <c r="AK100">
        <v>3</v>
      </c>
      <c r="AL100">
        <v>4</v>
      </c>
      <c r="AM100">
        <v>1</v>
      </c>
      <c r="AN100" t="s">
        <v>2661</v>
      </c>
      <c r="AO100" t="s">
        <v>2662</v>
      </c>
      <c r="AP100">
        <v>0.38</v>
      </c>
      <c r="AQ100" t="s">
        <v>69</v>
      </c>
      <c r="AR100">
        <v>8</v>
      </c>
      <c r="AS100">
        <v>4</v>
      </c>
      <c r="AT100">
        <v>2.886E-2</v>
      </c>
      <c r="AU100">
        <v>-3.8999999999999998E-3</v>
      </c>
      <c r="AV100">
        <v>0.10396</v>
      </c>
      <c r="AW100">
        <v>-1.6920000000000001E-2</v>
      </c>
      <c r="AX100">
        <v>1.146E-2</v>
      </c>
      <c r="AY100">
        <v>-2.7399999999999998E-3</v>
      </c>
      <c r="AZ100">
        <v>0.11024</v>
      </c>
      <c r="BA100">
        <v>1</v>
      </c>
      <c r="BB100" t="s">
        <v>70</v>
      </c>
      <c r="BC100">
        <v>0.05</v>
      </c>
      <c r="BD100">
        <v>0.05</v>
      </c>
      <c r="BE100" t="s">
        <v>139</v>
      </c>
    </row>
    <row r="101" spans="1:57">
      <c r="A101">
        <v>2899</v>
      </c>
      <c r="B101" t="s">
        <v>2856</v>
      </c>
      <c r="D101" t="s">
        <v>60</v>
      </c>
      <c r="E101" t="s">
        <v>2857</v>
      </c>
      <c r="F101" t="s">
        <v>74</v>
      </c>
      <c r="G101">
        <v>148</v>
      </c>
      <c r="H101" t="s">
        <v>63</v>
      </c>
      <c r="I101">
        <v>5</v>
      </c>
      <c r="J101" t="str">
        <f>HYPERLINK("Gene2899-zp_tree_all.dnd", "Gene2899-tree")</f>
        <v>Gene2899-tree</v>
      </c>
      <c r="K101">
        <v>4</v>
      </c>
      <c r="L101">
        <v>1</v>
      </c>
      <c r="M101">
        <v>4</v>
      </c>
      <c r="N101">
        <v>1</v>
      </c>
      <c r="O101">
        <v>0.2</v>
      </c>
      <c r="P101" t="s">
        <v>64</v>
      </c>
      <c r="Q101" t="s">
        <v>65</v>
      </c>
      <c r="R101" t="s">
        <v>66</v>
      </c>
      <c r="S101" t="s">
        <v>66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4</v>
      </c>
      <c r="AI101">
        <v>2</v>
      </c>
      <c r="AJ101">
        <v>8</v>
      </c>
      <c r="AK101">
        <v>1</v>
      </c>
      <c r="AL101">
        <v>6</v>
      </c>
      <c r="AM101">
        <v>0</v>
      </c>
      <c r="AN101" t="s">
        <v>2858</v>
      </c>
      <c r="AO101" t="s">
        <v>68</v>
      </c>
      <c r="AP101">
        <v>0.59</v>
      </c>
      <c r="AQ101" t="s">
        <v>69</v>
      </c>
      <c r="AR101">
        <v>14</v>
      </c>
      <c r="AS101">
        <v>1</v>
      </c>
      <c r="AT101">
        <v>1.6219999999999998E-2</v>
      </c>
      <c r="AU101">
        <v>-2.3999999999999998E-3</v>
      </c>
      <c r="AV101">
        <v>7.9430000000000001E-2</v>
      </c>
      <c r="AW101">
        <v>-1.2710000000000001E-2</v>
      </c>
      <c r="AX101">
        <v>1.14E-3</v>
      </c>
      <c r="AY101">
        <v>-4.4000000000000002E-4</v>
      </c>
      <c r="AZ101">
        <v>1.431E-2</v>
      </c>
      <c r="BA101">
        <v>1</v>
      </c>
      <c r="BB101" t="s">
        <v>70</v>
      </c>
      <c r="BC101">
        <v>0</v>
      </c>
      <c r="BD101">
        <v>0</v>
      </c>
      <c r="BE101" t="s">
        <v>139</v>
      </c>
    </row>
    <row r="102" spans="1:57">
      <c r="A102">
        <v>2918</v>
      </c>
      <c r="B102" t="s">
        <v>2884</v>
      </c>
      <c r="D102" t="s">
        <v>60</v>
      </c>
      <c r="E102" t="s">
        <v>2885</v>
      </c>
      <c r="F102" t="s">
        <v>2886</v>
      </c>
      <c r="G102">
        <v>71</v>
      </c>
      <c r="H102" t="s">
        <v>63</v>
      </c>
      <c r="I102">
        <v>5</v>
      </c>
      <c r="J102" t="str">
        <f>HYPERLINK("Gene2918-zp_tree_all.dnd", "Gene2918-tree")</f>
        <v>Gene2918-tree</v>
      </c>
      <c r="K102">
        <v>5</v>
      </c>
      <c r="L102">
        <v>0</v>
      </c>
      <c r="M102">
        <v>4</v>
      </c>
      <c r="N102">
        <v>0</v>
      </c>
      <c r="O102">
        <v>0</v>
      </c>
      <c r="P102" t="s">
        <v>135</v>
      </c>
      <c r="Q102" t="s">
        <v>66</v>
      </c>
      <c r="R102" t="s">
        <v>66</v>
      </c>
      <c r="S102" t="s">
        <v>66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3</v>
      </c>
      <c r="AI102">
        <v>1</v>
      </c>
      <c r="AJ102">
        <v>7</v>
      </c>
      <c r="AK102">
        <v>0</v>
      </c>
      <c r="AL102">
        <v>6</v>
      </c>
      <c r="AM102">
        <v>0</v>
      </c>
      <c r="AN102" t="s">
        <v>68</v>
      </c>
      <c r="AO102" t="s">
        <v>68</v>
      </c>
      <c r="AP102">
        <v>0</v>
      </c>
      <c r="AQ102" t="s">
        <v>69</v>
      </c>
      <c r="AR102">
        <v>13</v>
      </c>
      <c r="AS102">
        <v>0</v>
      </c>
      <c r="AT102">
        <v>3.5709999999999999E-2</v>
      </c>
      <c r="AU102">
        <v>-6.0200000000000002E-3</v>
      </c>
      <c r="AV102">
        <v>0.19867000000000001</v>
      </c>
      <c r="AW102">
        <v>-3.603E-2</v>
      </c>
      <c r="AX102">
        <v>0</v>
      </c>
      <c r="AY102">
        <v>0</v>
      </c>
      <c r="AZ102">
        <v>0</v>
      </c>
      <c r="BA102">
        <v>1</v>
      </c>
      <c r="BB102" t="s">
        <v>70</v>
      </c>
      <c r="BC102">
        <v>0.186</v>
      </c>
      <c r="BD102">
        <v>0.186</v>
      </c>
      <c r="BE102" t="s">
        <v>139</v>
      </c>
    </row>
    <row r="103" spans="1:57">
      <c r="A103">
        <v>2935</v>
      </c>
      <c r="B103" t="s">
        <v>2897</v>
      </c>
      <c r="D103" t="s">
        <v>60</v>
      </c>
      <c r="E103" t="s">
        <v>2898</v>
      </c>
      <c r="F103" t="s">
        <v>2899</v>
      </c>
      <c r="G103">
        <v>130</v>
      </c>
      <c r="H103" t="s">
        <v>63</v>
      </c>
      <c r="I103">
        <v>5</v>
      </c>
      <c r="J103" t="str">
        <f>HYPERLINK("Gene2935-zp_tree_all.dnd", "Gene2935-tree")</f>
        <v>Gene2935-tree</v>
      </c>
      <c r="K103">
        <v>2</v>
      </c>
      <c r="L103">
        <v>3</v>
      </c>
      <c r="M103">
        <v>2</v>
      </c>
      <c r="N103">
        <v>2</v>
      </c>
      <c r="O103">
        <v>0.5</v>
      </c>
      <c r="P103" t="s">
        <v>124</v>
      </c>
      <c r="Q103" t="s">
        <v>185</v>
      </c>
      <c r="R103">
        <v>0.30599999999999999</v>
      </c>
      <c r="S103" t="s">
        <v>69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3</v>
      </c>
      <c r="AI103">
        <v>1</v>
      </c>
      <c r="AJ103">
        <v>6</v>
      </c>
      <c r="AK103">
        <v>1</v>
      </c>
      <c r="AL103">
        <v>12</v>
      </c>
      <c r="AM103">
        <v>1</v>
      </c>
      <c r="AN103" t="s">
        <v>2900</v>
      </c>
      <c r="AO103" t="s">
        <v>2901</v>
      </c>
      <c r="AP103">
        <v>0.432</v>
      </c>
      <c r="AQ103" t="s">
        <v>69</v>
      </c>
      <c r="AR103">
        <v>18</v>
      </c>
      <c r="AS103">
        <v>2</v>
      </c>
      <c r="AT103">
        <v>3.1440000000000003E-2</v>
      </c>
      <c r="AU103">
        <v>-6.6E-3</v>
      </c>
      <c r="AV103">
        <v>0.15179000000000001</v>
      </c>
      <c r="AW103">
        <v>-3.3669999999999999E-2</v>
      </c>
      <c r="AX103">
        <v>3.8400000000000001E-3</v>
      </c>
      <c r="AY103">
        <v>-9.3000000000000005E-4</v>
      </c>
      <c r="AZ103">
        <v>2.5309999999999999E-2</v>
      </c>
      <c r="BA103">
        <v>1</v>
      </c>
      <c r="BB103" t="s">
        <v>70</v>
      </c>
      <c r="BC103">
        <v>0.77</v>
      </c>
      <c r="BD103">
        <v>0.77</v>
      </c>
      <c r="BE103" t="s">
        <v>139</v>
      </c>
    </row>
    <row r="104" spans="1:57">
      <c r="A104">
        <v>2976</v>
      </c>
      <c r="B104" t="s">
        <v>2966</v>
      </c>
      <c r="D104" t="s">
        <v>60</v>
      </c>
      <c r="E104" t="s">
        <v>2967</v>
      </c>
      <c r="F104" t="s">
        <v>2968</v>
      </c>
      <c r="G104">
        <v>176</v>
      </c>
      <c r="H104" t="s">
        <v>63</v>
      </c>
      <c r="I104">
        <v>5</v>
      </c>
      <c r="J104" t="str">
        <f>HYPERLINK("Gene2976-zp_tree_all.dnd", "Gene2976-tree")</f>
        <v>Gene2976-tree</v>
      </c>
      <c r="K104">
        <v>5</v>
      </c>
      <c r="L104">
        <v>0</v>
      </c>
      <c r="M104">
        <v>5</v>
      </c>
      <c r="N104">
        <v>0</v>
      </c>
      <c r="O104">
        <v>0</v>
      </c>
      <c r="P104" t="s">
        <v>96</v>
      </c>
      <c r="Q104" t="s">
        <v>66</v>
      </c>
      <c r="R104" t="s">
        <v>66</v>
      </c>
      <c r="S104" t="s">
        <v>66</v>
      </c>
      <c r="T104">
        <v>0</v>
      </c>
      <c r="U104">
        <v>0</v>
      </c>
      <c r="V104">
        <v>3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5</v>
      </c>
      <c r="AI104">
        <v>2</v>
      </c>
      <c r="AJ104">
        <v>7</v>
      </c>
      <c r="AK104">
        <v>0</v>
      </c>
      <c r="AL104">
        <v>18</v>
      </c>
      <c r="AM104">
        <v>3</v>
      </c>
      <c r="AN104" t="s">
        <v>68</v>
      </c>
      <c r="AO104" t="s">
        <v>2969</v>
      </c>
      <c r="AP104">
        <v>1.272</v>
      </c>
      <c r="AQ104" t="s">
        <v>69</v>
      </c>
      <c r="AR104">
        <v>25</v>
      </c>
      <c r="AS104">
        <v>3</v>
      </c>
      <c r="AT104">
        <v>2.9170000000000001E-2</v>
      </c>
      <c r="AU104">
        <v>-6.0899999999999999E-3</v>
      </c>
      <c r="AV104">
        <v>0.14557</v>
      </c>
      <c r="AW104">
        <v>-3.1660000000000001E-2</v>
      </c>
      <c r="AX104">
        <v>4.3E-3</v>
      </c>
      <c r="AY104">
        <v>-7.6999999999999996E-4</v>
      </c>
      <c r="AZ104">
        <v>2.9510000000000002E-2</v>
      </c>
      <c r="BA104">
        <v>1</v>
      </c>
      <c r="BB104" t="s">
        <v>70</v>
      </c>
      <c r="BC104">
        <v>1.089</v>
      </c>
      <c r="BD104">
        <v>1.089</v>
      </c>
      <c r="BE104" t="s">
        <v>139</v>
      </c>
    </row>
    <row r="105" spans="1:57">
      <c r="A105">
        <v>2977</v>
      </c>
      <c r="B105" t="s">
        <v>2970</v>
      </c>
      <c r="D105" t="s">
        <v>60</v>
      </c>
      <c r="E105" t="s">
        <v>2971</v>
      </c>
      <c r="F105" t="s">
        <v>74</v>
      </c>
      <c r="G105">
        <v>63</v>
      </c>
      <c r="H105" t="s">
        <v>63</v>
      </c>
      <c r="I105">
        <v>5</v>
      </c>
      <c r="J105" t="str">
        <f>HYPERLINK("Gene2977-zp_tree_all.dnd", "Gene2977-tree")</f>
        <v>Gene2977-tree</v>
      </c>
      <c r="K105">
        <v>5</v>
      </c>
      <c r="L105">
        <v>0</v>
      </c>
      <c r="M105">
        <v>4</v>
      </c>
      <c r="N105">
        <v>0</v>
      </c>
      <c r="O105">
        <v>0</v>
      </c>
      <c r="P105" t="s">
        <v>135</v>
      </c>
      <c r="Q105" t="s">
        <v>66</v>
      </c>
      <c r="R105" t="s">
        <v>66</v>
      </c>
      <c r="S105" t="s">
        <v>66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1</v>
      </c>
      <c r="AJ105">
        <v>2</v>
      </c>
      <c r="AK105">
        <v>0</v>
      </c>
      <c r="AL105">
        <v>4</v>
      </c>
      <c r="AM105">
        <v>1</v>
      </c>
      <c r="AN105" t="s">
        <v>68</v>
      </c>
      <c r="AO105" t="s">
        <v>2972</v>
      </c>
      <c r="AP105">
        <v>0</v>
      </c>
      <c r="AQ105" t="s">
        <v>69</v>
      </c>
      <c r="AR105">
        <v>6</v>
      </c>
      <c r="AS105">
        <v>1</v>
      </c>
      <c r="AT105">
        <v>2.2929999999999999E-2</v>
      </c>
      <c r="AU105">
        <v>-5.2399999999999999E-3</v>
      </c>
      <c r="AV105">
        <v>9.5490000000000005E-2</v>
      </c>
      <c r="AW105">
        <v>-2.1600000000000001E-2</v>
      </c>
      <c r="AX105">
        <v>4.5500000000000002E-3</v>
      </c>
      <c r="AY105">
        <v>-1.07E-3</v>
      </c>
      <c r="AZ105">
        <v>4.7600000000000003E-2</v>
      </c>
      <c r="BA105">
        <v>1</v>
      </c>
      <c r="BB105" t="s">
        <v>70</v>
      </c>
      <c r="BC105">
        <v>0.91300000000000003</v>
      </c>
      <c r="BD105">
        <v>0.91300000000000003</v>
      </c>
      <c r="BE105" t="s">
        <v>139</v>
      </c>
    </row>
    <row r="106" spans="1:57">
      <c r="A106">
        <v>2979</v>
      </c>
      <c r="B106" t="s">
        <v>2978</v>
      </c>
      <c r="D106" t="s">
        <v>60</v>
      </c>
      <c r="E106" t="s">
        <v>2979</v>
      </c>
      <c r="F106" t="s">
        <v>74</v>
      </c>
      <c r="G106">
        <v>100</v>
      </c>
      <c r="H106" t="s">
        <v>63</v>
      </c>
      <c r="I106">
        <v>5</v>
      </c>
      <c r="J106" t="str">
        <f>HYPERLINK("Gene2979-zp_tree_all.dnd", "Gene2979-tree")</f>
        <v>Gene2979-tree</v>
      </c>
      <c r="K106">
        <v>4</v>
      </c>
      <c r="L106">
        <v>1</v>
      </c>
      <c r="M106">
        <v>3</v>
      </c>
      <c r="N106">
        <v>1</v>
      </c>
      <c r="O106">
        <v>0.25</v>
      </c>
      <c r="P106" t="s">
        <v>112</v>
      </c>
      <c r="Q106" t="s">
        <v>65</v>
      </c>
      <c r="R106" t="s">
        <v>66</v>
      </c>
      <c r="S106" t="s">
        <v>66</v>
      </c>
      <c r="T106">
        <v>1</v>
      </c>
      <c r="U106">
        <v>2</v>
      </c>
      <c r="V106">
        <v>3</v>
      </c>
      <c r="W106">
        <v>0.4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3</v>
      </c>
      <c r="AI106">
        <v>1</v>
      </c>
      <c r="AJ106">
        <v>2</v>
      </c>
      <c r="AK106">
        <v>1</v>
      </c>
      <c r="AL106">
        <v>8</v>
      </c>
      <c r="AM106">
        <v>4</v>
      </c>
      <c r="AN106" t="s">
        <v>2980</v>
      </c>
      <c r="AO106" t="s">
        <v>2981</v>
      </c>
      <c r="AP106">
        <v>0.04</v>
      </c>
      <c r="AQ106" t="s">
        <v>69</v>
      </c>
      <c r="AR106">
        <v>10</v>
      </c>
      <c r="AS106">
        <v>5</v>
      </c>
      <c r="AT106">
        <v>3.1669999999999997E-2</v>
      </c>
      <c r="AU106">
        <v>-7.7299999999999999E-3</v>
      </c>
      <c r="AV106">
        <v>9.3990000000000004E-2</v>
      </c>
      <c r="AW106">
        <v>-2.3480000000000001E-2</v>
      </c>
      <c r="AX106">
        <v>1.4149999999999999E-2</v>
      </c>
      <c r="AY106">
        <v>-3.5699999999999998E-3</v>
      </c>
      <c r="AZ106">
        <v>0.15057999999999999</v>
      </c>
      <c r="BA106">
        <v>1</v>
      </c>
      <c r="BB106" t="s">
        <v>70</v>
      </c>
      <c r="BC106">
        <v>1.4219999999999999</v>
      </c>
      <c r="BD106">
        <v>1.4219999999999999</v>
      </c>
      <c r="BE106" t="s">
        <v>139</v>
      </c>
    </row>
    <row r="107" spans="1:57">
      <c r="A107">
        <v>3019</v>
      </c>
      <c r="B107" t="s">
        <v>3015</v>
      </c>
      <c r="D107" t="s">
        <v>60</v>
      </c>
      <c r="E107" t="s">
        <v>3016</v>
      </c>
      <c r="F107" t="s">
        <v>3017</v>
      </c>
      <c r="G107">
        <v>200</v>
      </c>
      <c r="H107" t="s">
        <v>63</v>
      </c>
      <c r="I107">
        <v>5</v>
      </c>
      <c r="J107" t="str">
        <f>HYPERLINK("Gene3019-zp_tree_all.dnd", "Gene3019-tree")</f>
        <v>Gene3019-tree</v>
      </c>
      <c r="K107">
        <v>5</v>
      </c>
      <c r="L107">
        <v>0</v>
      </c>
      <c r="M107">
        <v>5</v>
      </c>
      <c r="N107">
        <v>0</v>
      </c>
      <c r="O107">
        <v>0</v>
      </c>
      <c r="P107" t="s">
        <v>96</v>
      </c>
      <c r="Q107" t="s">
        <v>66</v>
      </c>
      <c r="R107" t="s">
        <v>66</v>
      </c>
      <c r="S107" t="s">
        <v>66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4</v>
      </c>
      <c r="AI107">
        <v>2</v>
      </c>
      <c r="AJ107">
        <v>4</v>
      </c>
      <c r="AK107">
        <v>0</v>
      </c>
      <c r="AL107">
        <v>3</v>
      </c>
      <c r="AM107">
        <v>1</v>
      </c>
      <c r="AN107" t="s">
        <v>68</v>
      </c>
      <c r="AO107" t="s">
        <v>3018</v>
      </c>
      <c r="AP107">
        <v>1.2709999999999999</v>
      </c>
      <c r="AQ107" t="s">
        <v>69</v>
      </c>
      <c r="AR107">
        <v>7</v>
      </c>
      <c r="AS107">
        <v>1</v>
      </c>
      <c r="AT107">
        <v>6.6699999999999997E-3</v>
      </c>
      <c r="AU107">
        <v>-9.1E-4</v>
      </c>
      <c r="AV107">
        <v>2.3730000000000001E-2</v>
      </c>
      <c r="AW107">
        <v>-2.8600000000000001E-3</v>
      </c>
      <c r="AX107">
        <v>1.32E-3</v>
      </c>
      <c r="AY107">
        <v>-3.1E-4</v>
      </c>
      <c r="AZ107">
        <v>5.5750000000000001E-2</v>
      </c>
      <c r="BA107">
        <v>1</v>
      </c>
      <c r="BB107" t="s">
        <v>70</v>
      </c>
      <c r="BC107">
        <v>0.29399999999999998</v>
      </c>
      <c r="BD107">
        <v>0.29399999999999998</v>
      </c>
      <c r="BE107" t="s">
        <v>139</v>
      </c>
    </row>
    <row r="108" spans="1:57">
      <c r="A108">
        <v>3023</v>
      </c>
      <c r="B108" t="s">
        <v>3021</v>
      </c>
      <c r="D108" t="s">
        <v>60</v>
      </c>
      <c r="E108" t="s">
        <v>3022</v>
      </c>
      <c r="F108" t="s">
        <v>3023</v>
      </c>
      <c r="G108">
        <v>210</v>
      </c>
      <c r="H108" t="s">
        <v>63</v>
      </c>
      <c r="I108">
        <v>5</v>
      </c>
      <c r="J108" t="str">
        <f>HYPERLINK("Gene3023-zp_tree_all.dnd", "Gene3023-tree")</f>
        <v>Gene3023-tree</v>
      </c>
      <c r="K108">
        <v>2</v>
      </c>
      <c r="L108">
        <v>3</v>
      </c>
      <c r="M108">
        <v>2</v>
      </c>
      <c r="N108">
        <v>3</v>
      </c>
      <c r="O108">
        <v>0.6</v>
      </c>
      <c r="P108" t="s">
        <v>124</v>
      </c>
      <c r="Q108" t="s">
        <v>86</v>
      </c>
      <c r="R108" t="s">
        <v>66</v>
      </c>
      <c r="S108" t="s">
        <v>66</v>
      </c>
      <c r="T108">
        <v>0</v>
      </c>
      <c r="U108">
        <v>0</v>
      </c>
      <c r="V108">
        <v>8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5</v>
      </c>
      <c r="AI108">
        <v>2</v>
      </c>
      <c r="AJ108">
        <v>20</v>
      </c>
      <c r="AK108">
        <v>4</v>
      </c>
      <c r="AL108">
        <v>13</v>
      </c>
      <c r="AM108">
        <v>4</v>
      </c>
      <c r="AN108" t="s">
        <v>3024</v>
      </c>
      <c r="AO108" t="s">
        <v>3025</v>
      </c>
      <c r="AP108">
        <v>0.25600000000000001</v>
      </c>
      <c r="AQ108" t="s">
        <v>69</v>
      </c>
      <c r="AR108">
        <v>33</v>
      </c>
      <c r="AS108">
        <v>8</v>
      </c>
      <c r="AT108">
        <v>3.032E-2</v>
      </c>
      <c r="AU108">
        <v>-5.3299999999999997E-3</v>
      </c>
      <c r="AV108">
        <v>0.11975</v>
      </c>
      <c r="AW108">
        <v>-2.2200000000000001E-2</v>
      </c>
      <c r="AX108">
        <v>8.2199999999999999E-3</v>
      </c>
      <c r="AY108">
        <v>-1.4599999999999999E-3</v>
      </c>
      <c r="AZ108">
        <v>6.8669999999999995E-2</v>
      </c>
      <c r="BA108">
        <v>1</v>
      </c>
      <c r="BB108" t="s">
        <v>70</v>
      </c>
      <c r="BC108">
        <v>0.35399999999999998</v>
      </c>
      <c r="BD108">
        <v>0.14799999999999999</v>
      </c>
      <c r="BE108" t="s">
        <v>139</v>
      </c>
    </row>
    <row r="109" spans="1:57">
      <c r="A109">
        <v>3024</v>
      </c>
      <c r="B109" t="s">
        <v>3026</v>
      </c>
      <c r="D109" t="s">
        <v>60</v>
      </c>
      <c r="E109" t="s">
        <v>3027</v>
      </c>
      <c r="F109" t="s">
        <v>3028</v>
      </c>
      <c r="G109">
        <v>214</v>
      </c>
      <c r="H109" t="s">
        <v>63</v>
      </c>
      <c r="I109">
        <v>5</v>
      </c>
      <c r="J109" t="str">
        <f>HYPERLINK("Gene3024-zp_tree_all.dnd", "Gene3024-tree")</f>
        <v>Gene3024-tree</v>
      </c>
      <c r="K109">
        <v>2</v>
      </c>
      <c r="L109">
        <v>3</v>
      </c>
      <c r="M109">
        <v>2</v>
      </c>
      <c r="N109">
        <v>3</v>
      </c>
      <c r="O109">
        <v>0.6</v>
      </c>
      <c r="P109" t="s">
        <v>124</v>
      </c>
      <c r="Q109" t="s">
        <v>86</v>
      </c>
      <c r="R109" t="s">
        <v>66</v>
      </c>
      <c r="S109" t="s">
        <v>66</v>
      </c>
      <c r="T109">
        <v>0</v>
      </c>
      <c r="U109">
        <v>0</v>
      </c>
      <c r="V109">
        <v>10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10</v>
      </c>
      <c r="AG109">
        <v>0</v>
      </c>
      <c r="AH109">
        <v>5</v>
      </c>
      <c r="AI109">
        <v>2</v>
      </c>
      <c r="AJ109">
        <v>13</v>
      </c>
      <c r="AK109">
        <v>4</v>
      </c>
      <c r="AL109">
        <v>18</v>
      </c>
      <c r="AM109">
        <v>6</v>
      </c>
      <c r="AN109" t="s">
        <v>3029</v>
      </c>
      <c r="AO109" t="s">
        <v>3030</v>
      </c>
      <c r="AP109">
        <v>1.4E-2</v>
      </c>
      <c r="AQ109" t="s">
        <v>69</v>
      </c>
      <c r="AR109">
        <v>31</v>
      </c>
      <c r="AS109">
        <v>10</v>
      </c>
      <c r="AT109">
        <v>3.2399999999999998E-2</v>
      </c>
      <c r="AU109">
        <v>-6.0200000000000002E-3</v>
      </c>
      <c r="AV109">
        <v>0.12486</v>
      </c>
      <c r="AW109">
        <v>-2.3519999999999999E-2</v>
      </c>
      <c r="AX109">
        <v>1.0449999999999999E-2</v>
      </c>
      <c r="AY109">
        <v>-2.1299999999999999E-3</v>
      </c>
      <c r="AZ109">
        <v>8.3690000000000001E-2</v>
      </c>
      <c r="BA109">
        <v>1</v>
      </c>
      <c r="BB109" t="s">
        <v>70</v>
      </c>
      <c r="BC109">
        <v>0.83499999999999996</v>
      </c>
      <c r="BD109">
        <v>0.67500000000000004</v>
      </c>
      <c r="BE109" t="s">
        <v>139</v>
      </c>
    </row>
    <row r="110" spans="1:57">
      <c r="A110">
        <v>3038</v>
      </c>
      <c r="B110" t="s">
        <v>3053</v>
      </c>
      <c r="D110" t="s">
        <v>60</v>
      </c>
      <c r="E110" t="s">
        <v>3054</v>
      </c>
      <c r="F110" t="s">
        <v>74</v>
      </c>
      <c r="G110">
        <v>148</v>
      </c>
      <c r="H110" t="s">
        <v>85</v>
      </c>
      <c r="I110">
        <v>4</v>
      </c>
      <c r="J110" t="str">
        <f>HYPERLINK("Gene3038-zp_tree_all.dnd", "Gene3038-tree")</f>
        <v>Gene3038-tree</v>
      </c>
      <c r="K110">
        <v>2</v>
      </c>
      <c r="L110">
        <v>2</v>
      </c>
      <c r="M110">
        <v>2</v>
      </c>
      <c r="N110">
        <v>2</v>
      </c>
      <c r="O110">
        <v>0.5</v>
      </c>
      <c r="P110" t="s">
        <v>124</v>
      </c>
      <c r="Q110" t="s">
        <v>124</v>
      </c>
      <c r="R110" t="s">
        <v>66</v>
      </c>
      <c r="S110" t="s">
        <v>66</v>
      </c>
      <c r="T110">
        <v>0</v>
      </c>
      <c r="U110">
        <v>0</v>
      </c>
      <c r="V110">
        <v>3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3</v>
      </c>
      <c r="AG110">
        <v>0</v>
      </c>
      <c r="AH110">
        <v>3</v>
      </c>
      <c r="AI110">
        <v>1</v>
      </c>
      <c r="AJ110">
        <v>17</v>
      </c>
      <c r="AK110">
        <v>3</v>
      </c>
      <c r="AL110">
        <v>4</v>
      </c>
      <c r="AM110">
        <v>0</v>
      </c>
      <c r="AN110" t="s">
        <v>3055</v>
      </c>
      <c r="AO110" t="s">
        <v>68</v>
      </c>
      <c r="AP110">
        <v>0.95599999999999996</v>
      </c>
      <c r="AQ110" t="s">
        <v>69</v>
      </c>
      <c r="AR110">
        <v>21</v>
      </c>
      <c r="AS110">
        <v>3</v>
      </c>
      <c r="AT110">
        <v>2.853E-2</v>
      </c>
      <c r="AU110">
        <v>-7.0600000000000003E-3</v>
      </c>
      <c r="AV110">
        <v>0.13031000000000001</v>
      </c>
      <c r="AW110">
        <v>-3.3959999999999997E-2</v>
      </c>
      <c r="AX110">
        <v>4.3299999999999996E-3</v>
      </c>
      <c r="AY110">
        <v>-1.1299999999999999E-3</v>
      </c>
      <c r="AZ110">
        <v>3.3259999999999998E-2</v>
      </c>
      <c r="BA110">
        <v>1</v>
      </c>
      <c r="BB110" t="s">
        <v>70</v>
      </c>
      <c r="BC110">
        <v>-0.33400000000000002</v>
      </c>
      <c r="BD110">
        <v>-0.33400000000000002</v>
      </c>
      <c r="BE110" t="s">
        <v>139</v>
      </c>
    </row>
    <row r="111" spans="1:57">
      <c r="A111">
        <v>3040</v>
      </c>
      <c r="B111" t="s">
        <v>3056</v>
      </c>
      <c r="D111" t="s">
        <v>60</v>
      </c>
      <c r="E111" t="s">
        <v>3057</v>
      </c>
      <c r="F111" t="s">
        <v>74</v>
      </c>
      <c r="G111">
        <v>105</v>
      </c>
      <c r="H111" t="s">
        <v>106</v>
      </c>
      <c r="I111">
        <v>4</v>
      </c>
      <c r="J111" t="str">
        <f>HYPERLINK("Gene3040-zp_tree_all.dnd", "Gene3040-tree")</f>
        <v>Gene3040-tree</v>
      </c>
      <c r="K111">
        <v>3</v>
      </c>
      <c r="L111">
        <v>1</v>
      </c>
      <c r="M111">
        <v>3</v>
      </c>
      <c r="N111">
        <v>1</v>
      </c>
      <c r="O111">
        <v>0.25</v>
      </c>
      <c r="P111" t="s">
        <v>86</v>
      </c>
      <c r="Q111" t="s">
        <v>65</v>
      </c>
      <c r="R111" t="s">
        <v>66</v>
      </c>
      <c r="S111" t="s">
        <v>66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3</v>
      </c>
      <c r="AI111">
        <v>1</v>
      </c>
      <c r="AJ111">
        <v>13</v>
      </c>
      <c r="AK111">
        <v>1</v>
      </c>
      <c r="AL111">
        <v>0</v>
      </c>
      <c r="AM111">
        <v>1</v>
      </c>
      <c r="AN111" t="s">
        <v>3058</v>
      </c>
      <c r="AO111" t="s">
        <v>68</v>
      </c>
      <c r="AP111">
        <v>0.53500000000000003</v>
      </c>
      <c r="AQ111" t="s">
        <v>69</v>
      </c>
      <c r="AR111">
        <v>13</v>
      </c>
      <c r="AS111">
        <v>2</v>
      </c>
      <c r="AT111">
        <v>2.4340000000000001E-2</v>
      </c>
      <c r="AU111">
        <v>-7.3899999999999999E-3</v>
      </c>
      <c r="AV111">
        <v>9.264E-2</v>
      </c>
      <c r="AW111">
        <v>-3.0839999999999999E-2</v>
      </c>
      <c r="AX111">
        <v>4.9399999999999999E-3</v>
      </c>
      <c r="AY111">
        <v>-1.1900000000000001E-3</v>
      </c>
      <c r="AZ111">
        <v>5.3280000000000001E-2</v>
      </c>
      <c r="BA111">
        <v>1</v>
      </c>
      <c r="BB111" t="s">
        <v>70</v>
      </c>
      <c r="BC111">
        <v>-0.64</v>
      </c>
      <c r="BD111">
        <v>-0.64</v>
      </c>
      <c r="BE111" t="s">
        <v>139</v>
      </c>
    </row>
    <row r="112" spans="1:57">
      <c r="A112">
        <v>3044</v>
      </c>
      <c r="B112" t="s">
        <v>3064</v>
      </c>
      <c r="D112" t="s">
        <v>60</v>
      </c>
      <c r="E112" t="s">
        <v>3065</v>
      </c>
      <c r="F112" t="s">
        <v>74</v>
      </c>
      <c r="G112">
        <v>92</v>
      </c>
      <c r="H112" t="s">
        <v>63</v>
      </c>
      <c r="I112">
        <v>5</v>
      </c>
      <c r="J112" t="str">
        <f>HYPERLINK("Gene3044-zp_tree_all.dnd", "Gene3044-tree")</f>
        <v>Gene3044-tree</v>
      </c>
      <c r="K112">
        <v>4</v>
      </c>
      <c r="L112">
        <v>1</v>
      </c>
      <c r="M112">
        <v>3</v>
      </c>
      <c r="N112">
        <v>1</v>
      </c>
      <c r="O112">
        <v>0.25</v>
      </c>
      <c r="P112" t="s">
        <v>112</v>
      </c>
      <c r="Q112" t="s">
        <v>65</v>
      </c>
      <c r="R112" t="s">
        <v>66</v>
      </c>
      <c r="S112" t="s">
        <v>66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3</v>
      </c>
      <c r="AI112">
        <v>1</v>
      </c>
      <c r="AJ112">
        <v>6</v>
      </c>
      <c r="AK112">
        <v>1</v>
      </c>
      <c r="AL112">
        <v>4</v>
      </c>
      <c r="AM112">
        <v>0</v>
      </c>
      <c r="AN112" t="s">
        <v>3066</v>
      </c>
      <c r="AO112" t="s">
        <v>68</v>
      </c>
      <c r="AP112">
        <v>0.79700000000000004</v>
      </c>
      <c r="AQ112" t="s">
        <v>69</v>
      </c>
      <c r="AR112">
        <v>10</v>
      </c>
      <c r="AS112">
        <v>1</v>
      </c>
      <c r="AT112">
        <v>2.2339999999999999E-2</v>
      </c>
      <c r="AU112">
        <v>-3.5599999999999998E-3</v>
      </c>
      <c r="AV112">
        <v>0.10716000000000001</v>
      </c>
      <c r="AW112">
        <v>-1.8110000000000001E-2</v>
      </c>
      <c r="AX112">
        <v>2.2899999999999999E-3</v>
      </c>
      <c r="AY112">
        <v>-8.5999999999999998E-4</v>
      </c>
      <c r="AZ112">
        <v>2.1409999999999998E-2</v>
      </c>
      <c r="BA112">
        <v>1</v>
      </c>
      <c r="BB112" t="s">
        <v>70</v>
      </c>
      <c r="BC112">
        <v>-0.109</v>
      </c>
      <c r="BD112">
        <v>-0.109</v>
      </c>
      <c r="BE112" t="s">
        <v>139</v>
      </c>
    </row>
    <row r="113" spans="1:57">
      <c r="A113">
        <v>3103</v>
      </c>
      <c r="B113" t="s">
        <v>3101</v>
      </c>
      <c r="D113" t="s">
        <v>60</v>
      </c>
      <c r="E113" t="s">
        <v>3102</v>
      </c>
      <c r="F113" t="s">
        <v>3103</v>
      </c>
      <c r="G113">
        <v>171</v>
      </c>
      <c r="H113" t="s">
        <v>106</v>
      </c>
      <c r="I113">
        <v>4</v>
      </c>
      <c r="J113" t="str">
        <f>HYPERLINK("Gene3103-zp_tree_all.dnd", "Gene3103-tree")</f>
        <v>Gene3103-tree</v>
      </c>
      <c r="K113">
        <v>1</v>
      </c>
      <c r="L113">
        <v>3</v>
      </c>
      <c r="M113">
        <v>1</v>
      </c>
      <c r="N113">
        <v>3</v>
      </c>
      <c r="O113">
        <v>0.75</v>
      </c>
      <c r="P113" t="s">
        <v>65</v>
      </c>
      <c r="Q113" t="s">
        <v>86</v>
      </c>
      <c r="R113" t="s">
        <v>66</v>
      </c>
      <c r="S113" t="s">
        <v>66</v>
      </c>
      <c r="T113">
        <v>0</v>
      </c>
      <c r="U113">
        <v>0</v>
      </c>
      <c r="V113">
        <v>8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8</v>
      </c>
      <c r="AG113">
        <v>0</v>
      </c>
      <c r="AH113">
        <v>3</v>
      </c>
      <c r="AI113">
        <v>1</v>
      </c>
      <c r="AJ113">
        <v>20</v>
      </c>
      <c r="AK113">
        <v>8</v>
      </c>
      <c r="AL113">
        <v>2</v>
      </c>
      <c r="AM113">
        <v>0</v>
      </c>
      <c r="AN113" t="s">
        <v>3104</v>
      </c>
      <c r="AO113" t="s">
        <v>68</v>
      </c>
      <c r="AP113">
        <v>0.84599999999999997</v>
      </c>
      <c r="AQ113" t="s">
        <v>69</v>
      </c>
      <c r="AR113">
        <v>22</v>
      </c>
      <c r="AS113">
        <v>8</v>
      </c>
      <c r="AT113">
        <v>2.827E-2</v>
      </c>
      <c r="AU113">
        <v>-8.9200000000000008E-3</v>
      </c>
      <c r="AV113">
        <v>9.8129999999999995E-2</v>
      </c>
      <c r="AW113">
        <v>-3.3180000000000001E-2</v>
      </c>
      <c r="AX113">
        <v>1.026E-2</v>
      </c>
      <c r="AY113">
        <v>-2.8500000000000001E-3</v>
      </c>
      <c r="AZ113">
        <v>0.10453999999999999</v>
      </c>
      <c r="BA113">
        <v>1</v>
      </c>
      <c r="BB113" t="s">
        <v>70</v>
      </c>
      <c r="BC113">
        <v>-0.159</v>
      </c>
      <c r="BD113">
        <v>-1.21</v>
      </c>
      <c r="BE113" t="s">
        <v>139</v>
      </c>
    </row>
    <row r="114" spans="1:57">
      <c r="A114">
        <v>3154</v>
      </c>
      <c r="B114" t="s">
        <v>3149</v>
      </c>
      <c r="D114" t="s">
        <v>60</v>
      </c>
      <c r="E114" t="s">
        <v>3150</v>
      </c>
      <c r="F114" t="s">
        <v>74</v>
      </c>
      <c r="G114">
        <v>162</v>
      </c>
      <c r="H114" t="s">
        <v>85</v>
      </c>
      <c r="I114">
        <v>4</v>
      </c>
      <c r="J114" t="str">
        <f>HYPERLINK("Gene3154-zp_tree_all.dnd", "Gene3154-tree")</f>
        <v>Gene3154-tree</v>
      </c>
      <c r="K114">
        <v>2</v>
      </c>
      <c r="L114">
        <v>2</v>
      </c>
      <c r="M114">
        <v>2</v>
      </c>
      <c r="N114">
        <v>2</v>
      </c>
      <c r="O114">
        <v>0.5</v>
      </c>
      <c r="P114" t="s">
        <v>124</v>
      </c>
      <c r="Q114" t="s">
        <v>124</v>
      </c>
      <c r="R114" t="s">
        <v>66</v>
      </c>
      <c r="S114" t="s">
        <v>66</v>
      </c>
      <c r="T114">
        <v>0</v>
      </c>
      <c r="U114">
        <v>0</v>
      </c>
      <c r="V114">
        <v>8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8</v>
      </c>
      <c r="AG114">
        <v>0</v>
      </c>
      <c r="AH114">
        <v>4</v>
      </c>
      <c r="AI114">
        <v>0</v>
      </c>
      <c r="AJ114">
        <v>18</v>
      </c>
      <c r="AK114">
        <v>8</v>
      </c>
      <c r="AL114">
        <v>0</v>
      </c>
      <c r="AM114">
        <v>0</v>
      </c>
      <c r="AN114" t="s">
        <v>3151</v>
      </c>
      <c r="AO114" t="s">
        <v>68</v>
      </c>
      <c r="AP114">
        <v>0.495</v>
      </c>
      <c r="AQ114" t="s">
        <v>69</v>
      </c>
      <c r="AR114">
        <v>18</v>
      </c>
      <c r="AS114">
        <v>8</v>
      </c>
      <c r="AT114">
        <v>2.6749999999999999E-2</v>
      </c>
      <c r="AU114">
        <v>-8.6899999999999998E-3</v>
      </c>
      <c r="AV114">
        <v>0.10553</v>
      </c>
      <c r="AW114">
        <v>-3.44E-2</v>
      </c>
      <c r="AX114">
        <v>1.0359999999999999E-2</v>
      </c>
      <c r="AY114">
        <v>-3.5699999999999998E-3</v>
      </c>
      <c r="AZ114">
        <v>9.8199999999999996E-2</v>
      </c>
      <c r="BA114">
        <v>1</v>
      </c>
      <c r="BB114" t="s">
        <v>70</v>
      </c>
      <c r="BC114">
        <v>-0.85899999999999999</v>
      </c>
      <c r="BD114">
        <v>-0.85899999999999999</v>
      </c>
      <c r="BE114" t="s">
        <v>139</v>
      </c>
    </row>
    <row r="115" spans="1:57">
      <c r="A115">
        <v>3185</v>
      </c>
      <c r="B115" t="s">
        <v>3159</v>
      </c>
      <c r="D115" t="s">
        <v>60</v>
      </c>
      <c r="E115" t="s">
        <v>3160</v>
      </c>
      <c r="F115" t="s">
        <v>3161</v>
      </c>
      <c r="G115">
        <v>110</v>
      </c>
      <c r="H115" t="s">
        <v>85</v>
      </c>
      <c r="I115">
        <v>4</v>
      </c>
      <c r="J115" t="str">
        <f>HYPERLINK("Gene3185-zp_tree_all.dnd", "Gene3185-tree")</f>
        <v>Gene3185-tree</v>
      </c>
      <c r="K115">
        <v>3</v>
      </c>
      <c r="L115">
        <v>1</v>
      </c>
      <c r="M115">
        <v>3</v>
      </c>
      <c r="N115">
        <v>1</v>
      </c>
      <c r="O115">
        <v>0.25</v>
      </c>
      <c r="P115" t="s">
        <v>86</v>
      </c>
      <c r="Q115" t="s">
        <v>65</v>
      </c>
      <c r="R115" t="s">
        <v>66</v>
      </c>
      <c r="S115" t="s">
        <v>66</v>
      </c>
      <c r="T115">
        <v>0</v>
      </c>
      <c r="U115">
        <v>0</v>
      </c>
      <c r="V115">
        <v>3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3</v>
      </c>
      <c r="AG115">
        <v>0</v>
      </c>
      <c r="AH115">
        <v>4</v>
      </c>
      <c r="AI115">
        <v>0</v>
      </c>
      <c r="AJ115">
        <v>11</v>
      </c>
      <c r="AK115">
        <v>3</v>
      </c>
      <c r="AL115">
        <v>0</v>
      </c>
      <c r="AM115">
        <v>0</v>
      </c>
      <c r="AN115" t="s">
        <v>3162</v>
      </c>
      <c r="AO115" t="s">
        <v>68</v>
      </c>
      <c r="AP115">
        <v>0.46600000000000003</v>
      </c>
      <c r="AQ115" t="s">
        <v>69</v>
      </c>
      <c r="AR115">
        <v>11</v>
      </c>
      <c r="AS115">
        <v>3</v>
      </c>
      <c r="AT115">
        <v>2.0709999999999999E-2</v>
      </c>
      <c r="AU115">
        <v>-5.9899999999999997E-3</v>
      </c>
      <c r="AV115">
        <v>9.1700000000000004E-2</v>
      </c>
      <c r="AW115">
        <v>-2.4410000000000001E-2</v>
      </c>
      <c r="AX115">
        <v>5.6699999999999997E-3</v>
      </c>
      <c r="AY115">
        <v>-2.31E-3</v>
      </c>
      <c r="AZ115">
        <v>6.1800000000000001E-2</v>
      </c>
      <c r="BA115">
        <v>1</v>
      </c>
      <c r="BB115" t="s">
        <v>70</v>
      </c>
      <c r="BC115">
        <v>-0.36699999999999999</v>
      </c>
      <c r="BD115">
        <v>-1.081</v>
      </c>
      <c r="BE115" t="s">
        <v>139</v>
      </c>
    </row>
    <row r="116" spans="1:57">
      <c r="A116">
        <v>3202</v>
      </c>
      <c r="B116" t="s">
        <v>3183</v>
      </c>
      <c r="D116" t="s">
        <v>60</v>
      </c>
      <c r="E116" t="s">
        <v>3184</v>
      </c>
      <c r="F116" t="s">
        <v>525</v>
      </c>
      <c r="G116">
        <v>392</v>
      </c>
      <c r="H116" t="s">
        <v>63</v>
      </c>
      <c r="I116">
        <v>5</v>
      </c>
      <c r="J116" t="str">
        <f>HYPERLINK("Gene3202-zp_tree_all.dnd", "Gene3202-tree")</f>
        <v>Gene3202-tree</v>
      </c>
      <c r="K116">
        <v>0</v>
      </c>
      <c r="L116">
        <v>5</v>
      </c>
      <c r="M116">
        <v>0</v>
      </c>
      <c r="N116">
        <v>5</v>
      </c>
      <c r="O116">
        <v>1</v>
      </c>
      <c r="P116" t="s">
        <v>66</v>
      </c>
      <c r="Q116" t="s">
        <v>96</v>
      </c>
      <c r="R116" t="s">
        <v>66</v>
      </c>
      <c r="S116" t="s">
        <v>66</v>
      </c>
      <c r="T116">
        <v>1</v>
      </c>
      <c r="U116">
        <v>2</v>
      </c>
      <c r="V116">
        <v>14</v>
      </c>
      <c r="W116">
        <v>0.125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2</v>
      </c>
      <c r="AF116">
        <v>14</v>
      </c>
      <c r="AG116">
        <v>0.125</v>
      </c>
      <c r="AH116">
        <v>5</v>
      </c>
      <c r="AI116">
        <v>2</v>
      </c>
      <c r="AJ116">
        <v>28</v>
      </c>
      <c r="AK116">
        <v>8</v>
      </c>
      <c r="AL116">
        <v>27</v>
      </c>
      <c r="AM116">
        <v>9</v>
      </c>
      <c r="AN116" t="s">
        <v>3185</v>
      </c>
      <c r="AO116" t="s">
        <v>3186</v>
      </c>
      <c r="AP116">
        <v>0.16600000000000001</v>
      </c>
      <c r="AQ116" t="s">
        <v>69</v>
      </c>
      <c r="AR116">
        <v>55</v>
      </c>
      <c r="AS116">
        <v>17</v>
      </c>
      <c r="AT116">
        <v>2.9760000000000002E-2</v>
      </c>
      <c r="AU116">
        <v>-4.3600000000000002E-3</v>
      </c>
      <c r="AV116">
        <v>9.9680000000000005E-2</v>
      </c>
      <c r="AW116">
        <v>-1.5299999999999999E-2</v>
      </c>
      <c r="AX116">
        <v>9.5499999999999995E-3</v>
      </c>
      <c r="AY116">
        <v>-1.4400000000000001E-3</v>
      </c>
      <c r="AZ116">
        <v>9.5780000000000004E-2</v>
      </c>
      <c r="BA116">
        <v>1</v>
      </c>
      <c r="BB116" t="s">
        <v>70</v>
      </c>
      <c r="BC116">
        <v>0.43</v>
      </c>
      <c r="BD116">
        <v>0.33900000000000002</v>
      </c>
      <c r="BE116" t="s">
        <v>139</v>
      </c>
    </row>
    <row r="117" spans="1:57">
      <c r="A117">
        <v>3203</v>
      </c>
      <c r="B117" t="s">
        <v>3187</v>
      </c>
      <c r="D117" t="s">
        <v>60</v>
      </c>
      <c r="E117" t="s">
        <v>3188</v>
      </c>
      <c r="F117" t="s">
        <v>3189</v>
      </c>
      <c r="G117">
        <v>624</v>
      </c>
      <c r="H117" t="s">
        <v>85</v>
      </c>
      <c r="I117">
        <v>4</v>
      </c>
      <c r="J117" t="str">
        <f>HYPERLINK("Gene3203-zp_tree_all.dnd", "Gene3203-tree")</f>
        <v>Gene3203-tree</v>
      </c>
      <c r="K117">
        <v>3</v>
      </c>
      <c r="L117">
        <v>1</v>
      </c>
      <c r="M117">
        <v>3</v>
      </c>
      <c r="N117">
        <v>1</v>
      </c>
      <c r="O117">
        <v>0.25</v>
      </c>
      <c r="P117" t="s">
        <v>86</v>
      </c>
      <c r="Q117" t="s">
        <v>65</v>
      </c>
      <c r="R117" t="s">
        <v>66</v>
      </c>
      <c r="S117" t="s">
        <v>66</v>
      </c>
      <c r="T117">
        <v>0</v>
      </c>
      <c r="U117">
        <v>0</v>
      </c>
      <c r="V117">
        <v>13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0</v>
      </c>
      <c r="AC117">
        <v>0</v>
      </c>
      <c r="AD117">
        <v>0</v>
      </c>
      <c r="AE117">
        <v>0</v>
      </c>
      <c r="AF117">
        <v>10</v>
      </c>
      <c r="AG117">
        <v>0</v>
      </c>
      <c r="AH117">
        <v>4</v>
      </c>
      <c r="AI117">
        <v>1</v>
      </c>
      <c r="AJ117">
        <v>84</v>
      </c>
      <c r="AK117">
        <v>12</v>
      </c>
      <c r="AL117">
        <v>14</v>
      </c>
      <c r="AM117">
        <v>3</v>
      </c>
      <c r="AN117" t="s">
        <v>3190</v>
      </c>
      <c r="AO117" t="s">
        <v>3191</v>
      </c>
      <c r="AP117">
        <v>0.26700000000000002</v>
      </c>
      <c r="AQ117" t="s">
        <v>69</v>
      </c>
      <c r="AR117">
        <v>98</v>
      </c>
      <c r="AS117">
        <v>15</v>
      </c>
      <c r="AT117">
        <v>3.134E-2</v>
      </c>
      <c r="AU117">
        <v>-7.5500000000000003E-3</v>
      </c>
      <c r="AV117">
        <v>0.13341</v>
      </c>
      <c r="AW117">
        <v>-3.2160000000000001E-2</v>
      </c>
      <c r="AX117">
        <v>5.5700000000000003E-3</v>
      </c>
      <c r="AY117">
        <v>-1.75E-3</v>
      </c>
      <c r="AZ117">
        <v>4.1739999999999999E-2</v>
      </c>
      <c r="BA117">
        <v>1</v>
      </c>
      <c r="BB117" t="s">
        <v>70</v>
      </c>
      <c r="BC117">
        <v>-0.32500000000000001</v>
      </c>
      <c r="BD117">
        <v>-0.498</v>
      </c>
      <c r="BE117" t="s">
        <v>139</v>
      </c>
    </row>
    <row r="118" spans="1:57">
      <c r="A118">
        <v>3204</v>
      </c>
      <c r="B118" t="s">
        <v>3192</v>
      </c>
      <c r="D118" t="s">
        <v>60</v>
      </c>
      <c r="E118" t="s">
        <v>3193</v>
      </c>
      <c r="F118" t="s">
        <v>74</v>
      </c>
      <c r="G118">
        <v>137</v>
      </c>
      <c r="H118" t="s">
        <v>106</v>
      </c>
      <c r="I118">
        <v>4</v>
      </c>
      <c r="J118" t="str">
        <f>HYPERLINK("Gene3204-zp_tree_all.dnd", "Gene3204-tree")</f>
        <v>Gene3204-tree</v>
      </c>
      <c r="K118">
        <v>2</v>
      </c>
      <c r="L118">
        <v>2</v>
      </c>
      <c r="M118">
        <v>2</v>
      </c>
      <c r="N118">
        <v>2</v>
      </c>
      <c r="O118">
        <v>0.5</v>
      </c>
      <c r="P118" t="s">
        <v>124</v>
      </c>
      <c r="Q118" t="s">
        <v>124</v>
      </c>
      <c r="R118" t="s">
        <v>66</v>
      </c>
      <c r="S118" t="s">
        <v>66</v>
      </c>
      <c r="T118">
        <v>1</v>
      </c>
      <c r="U118">
        <v>2</v>
      </c>
      <c r="V118">
        <v>4</v>
      </c>
      <c r="W118">
        <v>0.33333000000000002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</v>
      </c>
      <c r="AE118">
        <v>2</v>
      </c>
      <c r="AF118">
        <v>4</v>
      </c>
      <c r="AG118">
        <v>0.33333000000000002</v>
      </c>
      <c r="AH118">
        <v>3</v>
      </c>
      <c r="AI118">
        <v>1</v>
      </c>
      <c r="AJ118">
        <v>15</v>
      </c>
      <c r="AK118">
        <v>5</v>
      </c>
      <c r="AL118">
        <v>4</v>
      </c>
      <c r="AM118">
        <v>1</v>
      </c>
      <c r="AN118" t="s">
        <v>3194</v>
      </c>
      <c r="AO118" t="s">
        <v>3195</v>
      </c>
      <c r="AP118">
        <v>0.28599999999999998</v>
      </c>
      <c r="AQ118" t="s">
        <v>69</v>
      </c>
      <c r="AR118">
        <v>19</v>
      </c>
      <c r="AS118">
        <v>6</v>
      </c>
      <c r="AT118">
        <v>3.0450000000000001E-2</v>
      </c>
      <c r="AU118">
        <v>-6.8799999999999998E-3</v>
      </c>
      <c r="AV118">
        <v>0.10971</v>
      </c>
      <c r="AW118">
        <v>-2.7380000000000002E-2</v>
      </c>
      <c r="AX118">
        <v>1.021E-2</v>
      </c>
      <c r="AY118">
        <v>-2.0699999999999998E-3</v>
      </c>
      <c r="AZ118">
        <v>9.3049999999999994E-2</v>
      </c>
      <c r="BA118">
        <v>1</v>
      </c>
      <c r="BB118" t="s">
        <v>70</v>
      </c>
      <c r="BC118">
        <v>0.28499999999999998</v>
      </c>
      <c r="BD118">
        <v>-0.57099999999999995</v>
      </c>
      <c r="BE118" t="s">
        <v>139</v>
      </c>
    </row>
    <row r="119" spans="1:57">
      <c r="A119">
        <v>3215</v>
      </c>
      <c r="B119" t="s">
        <v>3200</v>
      </c>
      <c r="D119" t="s">
        <v>60</v>
      </c>
      <c r="E119" t="s">
        <v>3201</v>
      </c>
      <c r="F119" t="s">
        <v>3202</v>
      </c>
      <c r="G119">
        <v>143</v>
      </c>
      <c r="H119" t="s">
        <v>63</v>
      </c>
      <c r="I119">
        <v>5</v>
      </c>
      <c r="J119" t="str">
        <f>HYPERLINK("Gene3215-zp_tree_all.dnd", "Gene3215-tree")</f>
        <v>Gene3215-tree</v>
      </c>
      <c r="K119">
        <v>4</v>
      </c>
      <c r="L119">
        <v>1</v>
      </c>
      <c r="M119">
        <v>4</v>
      </c>
      <c r="N119">
        <v>1</v>
      </c>
      <c r="O119">
        <v>0.2</v>
      </c>
      <c r="P119" t="s">
        <v>64</v>
      </c>
      <c r="Q119" t="s">
        <v>65</v>
      </c>
      <c r="R119" t="s">
        <v>66</v>
      </c>
      <c r="S119" t="s">
        <v>66</v>
      </c>
      <c r="T119">
        <v>0</v>
      </c>
      <c r="U119">
        <v>0</v>
      </c>
      <c r="V119">
        <v>4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5</v>
      </c>
      <c r="AI119">
        <v>1</v>
      </c>
      <c r="AJ119">
        <v>11</v>
      </c>
      <c r="AK119">
        <v>1</v>
      </c>
      <c r="AL119">
        <v>8</v>
      </c>
      <c r="AM119">
        <v>3</v>
      </c>
      <c r="AN119" t="s">
        <v>3203</v>
      </c>
      <c r="AO119" t="s">
        <v>3204</v>
      </c>
      <c r="AP119">
        <v>1.57</v>
      </c>
      <c r="AQ119" t="s">
        <v>69</v>
      </c>
      <c r="AR119">
        <v>19</v>
      </c>
      <c r="AS119">
        <v>4</v>
      </c>
      <c r="AT119">
        <v>2.5170000000000001E-2</v>
      </c>
      <c r="AU119">
        <v>-4.28E-3</v>
      </c>
      <c r="AV119">
        <v>8.1460000000000005E-2</v>
      </c>
      <c r="AW119">
        <v>-1.2840000000000001E-2</v>
      </c>
      <c r="AX119">
        <v>7.0099999999999997E-3</v>
      </c>
      <c r="AY119">
        <v>-1.6800000000000001E-3</v>
      </c>
      <c r="AZ119">
        <v>8.6059999999999998E-2</v>
      </c>
      <c r="BA119">
        <v>1</v>
      </c>
      <c r="BB119" t="s">
        <v>70</v>
      </c>
      <c r="BC119">
        <v>0.52900000000000003</v>
      </c>
      <c r="BD119">
        <v>-0.20599999999999999</v>
      </c>
      <c r="BE119" t="s">
        <v>139</v>
      </c>
    </row>
    <row r="120" spans="1:57">
      <c r="A120">
        <v>3216</v>
      </c>
      <c r="B120" t="s">
        <v>3205</v>
      </c>
      <c r="D120" t="s">
        <v>60</v>
      </c>
      <c r="E120" t="s">
        <v>3206</v>
      </c>
      <c r="F120" t="s">
        <v>3207</v>
      </c>
      <c r="G120">
        <v>113</v>
      </c>
      <c r="H120" t="s">
        <v>63</v>
      </c>
      <c r="I120">
        <v>5</v>
      </c>
      <c r="J120" t="str">
        <f>HYPERLINK("Gene3216-zp_tree_all.dnd", "Gene3216-tree")</f>
        <v>Gene3216-tree</v>
      </c>
      <c r="K120">
        <v>5</v>
      </c>
      <c r="L120">
        <v>0</v>
      </c>
      <c r="M120">
        <v>4</v>
      </c>
      <c r="N120">
        <v>0</v>
      </c>
      <c r="O120">
        <v>0</v>
      </c>
      <c r="P120" t="s">
        <v>135</v>
      </c>
      <c r="Q120" t="s">
        <v>66</v>
      </c>
      <c r="R120" t="s">
        <v>66</v>
      </c>
      <c r="S120" t="s">
        <v>66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3</v>
      </c>
      <c r="AI120">
        <v>1</v>
      </c>
      <c r="AJ120">
        <v>7</v>
      </c>
      <c r="AK120">
        <v>0</v>
      </c>
      <c r="AL120">
        <v>2</v>
      </c>
      <c r="AM120">
        <v>0</v>
      </c>
      <c r="AN120" t="s">
        <v>68</v>
      </c>
      <c r="AO120" t="s">
        <v>68</v>
      </c>
      <c r="AP120">
        <v>0</v>
      </c>
      <c r="AQ120" t="s">
        <v>69</v>
      </c>
      <c r="AR120">
        <v>9</v>
      </c>
      <c r="AS120">
        <v>0</v>
      </c>
      <c r="AT120">
        <v>1.3270000000000001E-2</v>
      </c>
      <c r="AU120">
        <v>-2.0600000000000002E-3</v>
      </c>
      <c r="AV120">
        <v>5.9729999999999998E-2</v>
      </c>
      <c r="AW120">
        <v>-9.4000000000000004E-3</v>
      </c>
      <c r="AX120">
        <v>0</v>
      </c>
      <c r="AY120">
        <v>0</v>
      </c>
      <c r="AZ120">
        <v>0</v>
      </c>
      <c r="BA120">
        <v>1</v>
      </c>
      <c r="BB120" t="s">
        <v>70</v>
      </c>
      <c r="BC120">
        <v>0.66100000000000003</v>
      </c>
      <c r="BD120">
        <v>-7.2999999999999995E-2</v>
      </c>
      <c r="BE120" t="s">
        <v>139</v>
      </c>
    </row>
    <row r="121" spans="1:57">
      <c r="A121">
        <v>3219</v>
      </c>
      <c r="B121" t="s">
        <v>3208</v>
      </c>
      <c r="D121" t="s">
        <v>60</v>
      </c>
      <c r="E121" t="s">
        <v>3209</v>
      </c>
      <c r="F121" t="s">
        <v>3210</v>
      </c>
      <c r="G121">
        <v>94</v>
      </c>
      <c r="H121" t="s">
        <v>63</v>
      </c>
      <c r="I121">
        <v>5</v>
      </c>
      <c r="J121" t="str">
        <f>HYPERLINK("Gene3219-zp_tree_all.dnd", "Gene3219-tree")</f>
        <v>Gene3219-tree</v>
      </c>
      <c r="K121">
        <v>3</v>
      </c>
      <c r="L121">
        <v>2</v>
      </c>
      <c r="M121">
        <v>3</v>
      </c>
      <c r="N121">
        <v>2</v>
      </c>
      <c r="O121">
        <v>0.4</v>
      </c>
      <c r="P121" t="s">
        <v>86</v>
      </c>
      <c r="Q121" t="s">
        <v>124</v>
      </c>
      <c r="R121" t="s">
        <v>66</v>
      </c>
      <c r="S121" t="s">
        <v>66</v>
      </c>
      <c r="T121">
        <v>0</v>
      </c>
      <c r="U121">
        <v>0</v>
      </c>
      <c r="V121">
        <v>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</v>
      </c>
      <c r="AG121">
        <v>0</v>
      </c>
      <c r="AH121">
        <v>3</v>
      </c>
      <c r="AI121">
        <v>2</v>
      </c>
      <c r="AJ121">
        <v>6</v>
      </c>
      <c r="AK121">
        <v>1</v>
      </c>
      <c r="AL121">
        <v>7</v>
      </c>
      <c r="AM121">
        <v>1</v>
      </c>
      <c r="AN121" t="s">
        <v>3211</v>
      </c>
      <c r="AO121" t="s">
        <v>3212</v>
      </c>
      <c r="AP121">
        <v>9.4E-2</v>
      </c>
      <c r="AQ121" t="s">
        <v>69</v>
      </c>
      <c r="AR121">
        <v>13</v>
      </c>
      <c r="AS121">
        <v>2</v>
      </c>
      <c r="AT121">
        <v>2.6950000000000002E-2</v>
      </c>
      <c r="AU121">
        <v>-4.7099999999999998E-3</v>
      </c>
      <c r="AV121">
        <v>9.8900000000000002E-2</v>
      </c>
      <c r="AW121">
        <v>-1.7299999999999999E-2</v>
      </c>
      <c r="AX121">
        <v>4.7999999999999996E-3</v>
      </c>
      <c r="AY121">
        <v>-1.1800000000000001E-3</v>
      </c>
      <c r="AZ121">
        <v>4.854E-2</v>
      </c>
      <c r="BA121">
        <v>1</v>
      </c>
      <c r="BB121" t="s">
        <v>70</v>
      </c>
      <c r="BC121">
        <v>0.40600000000000003</v>
      </c>
      <c r="BD121">
        <v>0.40600000000000003</v>
      </c>
      <c r="BE121" t="s">
        <v>139</v>
      </c>
    </row>
    <row r="122" spans="1:57">
      <c r="A122">
        <v>3264</v>
      </c>
      <c r="B122" t="s">
        <v>3249</v>
      </c>
      <c r="D122" t="s">
        <v>60</v>
      </c>
      <c r="E122" t="s">
        <v>3250</v>
      </c>
      <c r="F122" t="s">
        <v>3251</v>
      </c>
      <c r="G122">
        <v>332</v>
      </c>
      <c r="H122" t="s">
        <v>85</v>
      </c>
      <c r="I122">
        <v>4</v>
      </c>
      <c r="J122" t="str">
        <f>HYPERLINK("Gene3264-zp_tree_all.dnd", "Gene3264-tree")</f>
        <v>Gene3264-tree</v>
      </c>
      <c r="K122">
        <v>2</v>
      </c>
      <c r="L122">
        <v>2</v>
      </c>
      <c r="M122">
        <v>2</v>
      </c>
      <c r="N122">
        <v>2</v>
      </c>
      <c r="O122">
        <v>0.5</v>
      </c>
      <c r="P122" t="s">
        <v>124</v>
      </c>
      <c r="Q122" t="s">
        <v>124</v>
      </c>
      <c r="R122" t="s">
        <v>66</v>
      </c>
      <c r="S122" t="s">
        <v>66</v>
      </c>
      <c r="T122">
        <v>0</v>
      </c>
      <c r="U122">
        <v>0</v>
      </c>
      <c r="V122">
        <v>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</v>
      </c>
      <c r="AG122">
        <v>0</v>
      </c>
      <c r="AH122">
        <v>4</v>
      </c>
      <c r="AI122">
        <v>1</v>
      </c>
      <c r="AJ122">
        <v>49</v>
      </c>
      <c r="AK122">
        <v>2</v>
      </c>
      <c r="AL122">
        <v>4</v>
      </c>
      <c r="AM122">
        <v>0</v>
      </c>
      <c r="AN122" t="s">
        <v>3252</v>
      </c>
      <c r="AO122" t="s">
        <v>68</v>
      </c>
      <c r="AP122">
        <v>0.80500000000000005</v>
      </c>
      <c r="AQ122" t="s">
        <v>69</v>
      </c>
      <c r="AR122">
        <v>53</v>
      </c>
      <c r="AS122">
        <v>2</v>
      </c>
      <c r="AT122">
        <v>2.7189999999999999E-2</v>
      </c>
      <c r="AU122">
        <v>-6.28E-3</v>
      </c>
      <c r="AV122">
        <v>0.12770999999999999</v>
      </c>
      <c r="AW122">
        <v>-3.2829999999999998E-2</v>
      </c>
      <c r="AX122">
        <v>1.31E-3</v>
      </c>
      <c r="AY122">
        <v>-3.1E-4</v>
      </c>
      <c r="AZ122">
        <v>1.025E-2</v>
      </c>
      <c r="BA122">
        <v>1</v>
      </c>
      <c r="BB122" t="s">
        <v>70</v>
      </c>
      <c r="BC122">
        <v>-0.30599999999999999</v>
      </c>
      <c r="BD122">
        <v>-0.68</v>
      </c>
      <c r="BE122" t="s">
        <v>139</v>
      </c>
    </row>
    <row r="123" spans="1:57">
      <c r="A123">
        <v>3273</v>
      </c>
      <c r="B123" t="s">
        <v>3269</v>
      </c>
      <c r="D123" t="s">
        <v>60</v>
      </c>
      <c r="E123" t="s">
        <v>3270</v>
      </c>
      <c r="F123" t="s">
        <v>3271</v>
      </c>
      <c r="G123">
        <v>355</v>
      </c>
      <c r="H123" t="s">
        <v>63</v>
      </c>
      <c r="I123">
        <v>5</v>
      </c>
      <c r="J123" t="str">
        <f>HYPERLINK("Gene3273-zp_tree_all.dnd", "Gene3273-tree")</f>
        <v>Gene3273-tree</v>
      </c>
      <c r="K123">
        <v>1</v>
      </c>
      <c r="L123">
        <v>4</v>
      </c>
      <c r="M123">
        <v>1</v>
      </c>
      <c r="N123">
        <v>4</v>
      </c>
      <c r="O123">
        <v>0.8</v>
      </c>
      <c r="P123" t="s">
        <v>65</v>
      </c>
      <c r="Q123" t="s">
        <v>64</v>
      </c>
      <c r="R123" t="s">
        <v>66</v>
      </c>
      <c r="S123" t="s">
        <v>66</v>
      </c>
      <c r="T123">
        <v>0</v>
      </c>
      <c r="U123">
        <v>0</v>
      </c>
      <c r="V123">
        <v>9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9</v>
      </c>
      <c r="AG123">
        <v>0</v>
      </c>
      <c r="AH123">
        <v>5</v>
      </c>
      <c r="AI123">
        <v>2</v>
      </c>
      <c r="AJ123">
        <v>25</v>
      </c>
      <c r="AK123">
        <v>5</v>
      </c>
      <c r="AL123">
        <v>24</v>
      </c>
      <c r="AM123">
        <v>5</v>
      </c>
      <c r="AN123" t="s">
        <v>3272</v>
      </c>
      <c r="AO123" t="s">
        <v>3273</v>
      </c>
      <c r="AP123">
        <v>5.0000000000000001E-3</v>
      </c>
      <c r="AQ123" t="s">
        <v>69</v>
      </c>
      <c r="AR123">
        <v>49</v>
      </c>
      <c r="AS123">
        <v>10</v>
      </c>
      <c r="AT123">
        <v>2.7320000000000001E-2</v>
      </c>
      <c r="AU123">
        <v>-4.8599999999999997E-3</v>
      </c>
      <c r="AV123">
        <v>0.10634</v>
      </c>
      <c r="AW123">
        <v>-1.975E-2</v>
      </c>
      <c r="AX123">
        <v>6.1599999999999997E-3</v>
      </c>
      <c r="AY123">
        <v>-1.08E-3</v>
      </c>
      <c r="AZ123">
        <v>5.7919999999999999E-2</v>
      </c>
      <c r="BA123">
        <v>1</v>
      </c>
      <c r="BB123" t="s">
        <v>70</v>
      </c>
      <c r="BC123">
        <v>0.34200000000000003</v>
      </c>
      <c r="BD123">
        <v>0.20599999999999999</v>
      </c>
      <c r="BE123" t="s">
        <v>139</v>
      </c>
    </row>
    <row r="124" spans="1:57">
      <c r="A124">
        <v>3281</v>
      </c>
      <c r="B124" t="s">
        <v>3285</v>
      </c>
      <c r="D124" t="s">
        <v>60</v>
      </c>
      <c r="E124" t="s">
        <v>3286</v>
      </c>
      <c r="F124" t="s">
        <v>74</v>
      </c>
      <c r="G124">
        <v>166</v>
      </c>
      <c r="H124" t="s">
        <v>63</v>
      </c>
      <c r="I124">
        <v>5</v>
      </c>
      <c r="J124" t="str">
        <f>HYPERLINK("Gene3281-zp_tree_all.dnd", "Gene3281-tree")</f>
        <v>Gene3281-tree</v>
      </c>
      <c r="K124">
        <v>3</v>
      </c>
      <c r="L124">
        <v>2</v>
      </c>
      <c r="M124">
        <v>3</v>
      </c>
      <c r="N124">
        <v>2</v>
      </c>
      <c r="O124">
        <v>0.4</v>
      </c>
      <c r="P124" t="s">
        <v>86</v>
      </c>
      <c r="Q124" t="s">
        <v>124</v>
      </c>
      <c r="R124" t="s">
        <v>66</v>
      </c>
      <c r="S124" t="s">
        <v>66</v>
      </c>
      <c r="T124">
        <v>1</v>
      </c>
      <c r="U124">
        <v>2</v>
      </c>
      <c r="V124">
        <v>5</v>
      </c>
      <c r="W124">
        <v>0.28571000000000002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2</v>
      </c>
      <c r="AF124">
        <v>5</v>
      </c>
      <c r="AG124">
        <v>0.28571000000000002</v>
      </c>
      <c r="AH124">
        <v>4</v>
      </c>
      <c r="AI124">
        <v>2</v>
      </c>
      <c r="AJ124">
        <v>11</v>
      </c>
      <c r="AK124">
        <v>4</v>
      </c>
      <c r="AL124">
        <v>15</v>
      </c>
      <c r="AM124">
        <v>3</v>
      </c>
      <c r="AN124" t="s">
        <v>3287</v>
      </c>
      <c r="AO124" t="s">
        <v>3288</v>
      </c>
      <c r="AP124">
        <v>0.58399999999999996</v>
      </c>
      <c r="AQ124" t="s">
        <v>69</v>
      </c>
      <c r="AR124">
        <v>26</v>
      </c>
      <c r="AS124">
        <v>7</v>
      </c>
      <c r="AT124">
        <v>3.313E-2</v>
      </c>
      <c r="AU124">
        <v>-5.7600000000000004E-3</v>
      </c>
      <c r="AV124">
        <v>0.12895999999999999</v>
      </c>
      <c r="AW124">
        <v>-2.2519999999999998E-2</v>
      </c>
      <c r="AX124">
        <v>8.9099999999999995E-3</v>
      </c>
      <c r="AY124">
        <v>-1.8600000000000001E-3</v>
      </c>
      <c r="AZ124">
        <v>6.9120000000000001E-2</v>
      </c>
      <c r="BA124">
        <v>1</v>
      </c>
      <c r="BB124" t="s">
        <v>70</v>
      </c>
      <c r="BC124">
        <v>0.55600000000000005</v>
      </c>
      <c r="BD124">
        <v>0.312</v>
      </c>
      <c r="BE124" t="s">
        <v>139</v>
      </c>
    </row>
    <row r="125" spans="1:57">
      <c r="A125">
        <v>3341</v>
      </c>
      <c r="B125" t="s">
        <v>3357</v>
      </c>
      <c r="D125" t="s">
        <v>60</v>
      </c>
      <c r="E125" t="s">
        <v>3358</v>
      </c>
      <c r="F125" t="s">
        <v>74</v>
      </c>
      <c r="G125">
        <v>48</v>
      </c>
      <c r="H125" t="s">
        <v>63</v>
      </c>
      <c r="I125">
        <v>5</v>
      </c>
      <c r="J125" t="str">
        <f>HYPERLINK("Gene3341-zp_tree_all.dnd", "Gene3341-tree")</f>
        <v>Gene3341-tree</v>
      </c>
      <c r="K125">
        <v>3</v>
      </c>
      <c r="L125">
        <v>2</v>
      </c>
      <c r="M125">
        <v>3</v>
      </c>
      <c r="N125">
        <v>2</v>
      </c>
      <c r="O125">
        <v>0.4</v>
      </c>
      <c r="P125" t="s">
        <v>86</v>
      </c>
      <c r="Q125" t="s">
        <v>124</v>
      </c>
      <c r="R125" t="s">
        <v>66</v>
      </c>
      <c r="S125" t="s">
        <v>66</v>
      </c>
      <c r="T125">
        <v>0</v>
      </c>
      <c r="U125">
        <v>0</v>
      </c>
      <c r="V125">
        <v>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2</v>
      </c>
      <c r="AG125">
        <v>0</v>
      </c>
      <c r="AH125">
        <v>3</v>
      </c>
      <c r="AI125">
        <v>1</v>
      </c>
      <c r="AJ125">
        <v>1</v>
      </c>
      <c r="AK125">
        <v>3</v>
      </c>
      <c r="AL125">
        <v>1</v>
      </c>
      <c r="AM125">
        <v>0</v>
      </c>
      <c r="AN125" t="s">
        <v>3359</v>
      </c>
      <c r="AO125" t="s">
        <v>68</v>
      </c>
      <c r="AP125">
        <v>0.64900000000000002</v>
      </c>
      <c r="AQ125" t="s">
        <v>69</v>
      </c>
      <c r="AR125">
        <v>2</v>
      </c>
      <c r="AS125">
        <v>3</v>
      </c>
      <c r="AT125">
        <v>1.528E-2</v>
      </c>
      <c r="AU125">
        <v>-2.3700000000000001E-3</v>
      </c>
      <c r="AV125">
        <v>3.2910000000000002E-2</v>
      </c>
      <c r="AW125">
        <v>-5.7999999999999996E-3</v>
      </c>
      <c r="AX125">
        <v>1.078E-2</v>
      </c>
      <c r="AY125">
        <v>-2.7899999999999999E-3</v>
      </c>
      <c r="AZ125">
        <v>0.32752999999999999</v>
      </c>
      <c r="BA125">
        <v>0.85099999999999998</v>
      </c>
      <c r="BB125" t="s">
        <v>188</v>
      </c>
      <c r="BC125">
        <v>-0.56200000000000006</v>
      </c>
      <c r="BD125">
        <v>-0.56200000000000006</v>
      </c>
      <c r="BE125" t="s">
        <v>139</v>
      </c>
    </row>
    <row r="126" spans="1:57">
      <c r="A126">
        <v>3343</v>
      </c>
      <c r="B126" t="s">
        <v>3360</v>
      </c>
      <c r="D126" t="s">
        <v>60</v>
      </c>
      <c r="E126" t="s">
        <v>3361</v>
      </c>
      <c r="F126" t="s">
        <v>74</v>
      </c>
      <c r="G126">
        <v>81</v>
      </c>
      <c r="H126" t="s">
        <v>63</v>
      </c>
      <c r="I126">
        <v>5</v>
      </c>
      <c r="J126" t="str">
        <f>HYPERLINK("Gene3343-zp_tree_all.dnd", "Gene3343-tree")</f>
        <v>Gene3343-tree</v>
      </c>
      <c r="K126">
        <v>4</v>
      </c>
      <c r="L126">
        <v>1</v>
      </c>
      <c r="M126">
        <v>3</v>
      </c>
      <c r="N126">
        <v>1</v>
      </c>
      <c r="O126">
        <v>0.25</v>
      </c>
      <c r="P126" t="s">
        <v>112</v>
      </c>
      <c r="Q126" t="s">
        <v>65</v>
      </c>
      <c r="R126" t="s">
        <v>66</v>
      </c>
      <c r="S126" t="s">
        <v>66</v>
      </c>
      <c r="T126">
        <v>0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3</v>
      </c>
      <c r="AI126">
        <v>1</v>
      </c>
      <c r="AJ126">
        <v>3</v>
      </c>
      <c r="AK126">
        <v>1</v>
      </c>
      <c r="AL126">
        <v>2</v>
      </c>
      <c r="AM126">
        <v>1</v>
      </c>
      <c r="AN126" t="s">
        <v>3362</v>
      </c>
      <c r="AO126" t="s">
        <v>3363</v>
      </c>
      <c r="AP126">
        <v>0.31900000000000001</v>
      </c>
      <c r="AQ126" t="s">
        <v>69</v>
      </c>
      <c r="AR126">
        <v>5</v>
      </c>
      <c r="AS126">
        <v>2</v>
      </c>
      <c r="AT126">
        <v>1.5779999999999999E-2</v>
      </c>
      <c r="AU126">
        <v>-2.98E-3</v>
      </c>
      <c r="AV126">
        <v>6.1879999999999998E-2</v>
      </c>
      <c r="AW126">
        <v>-1.4630000000000001E-2</v>
      </c>
      <c r="AX126">
        <v>5.94E-3</v>
      </c>
      <c r="AY126">
        <v>-1.0300000000000001E-3</v>
      </c>
      <c r="AZ126">
        <v>9.5979999999999996E-2</v>
      </c>
      <c r="BA126">
        <v>0.97499999999999998</v>
      </c>
      <c r="BB126" t="s">
        <v>70</v>
      </c>
      <c r="BC126">
        <v>1.002</v>
      </c>
      <c r="BD126">
        <v>-0.191</v>
      </c>
      <c r="BE126" t="s">
        <v>139</v>
      </c>
    </row>
    <row r="127" spans="1:57">
      <c r="A127">
        <v>3344</v>
      </c>
      <c r="B127" t="s">
        <v>3364</v>
      </c>
      <c r="D127" t="s">
        <v>60</v>
      </c>
      <c r="E127" t="s">
        <v>3365</v>
      </c>
      <c r="F127" t="s">
        <v>74</v>
      </c>
      <c r="G127">
        <v>110</v>
      </c>
      <c r="H127" t="s">
        <v>63</v>
      </c>
      <c r="I127">
        <v>5</v>
      </c>
      <c r="J127" t="str">
        <f>HYPERLINK("Gene3344-zp_tree_all.dnd", "Gene3344-tree")</f>
        <v>Gene3344-tree</v>
      </c>
      <c r="K127">
        <v>3</v>
      </c>
      <c r="L127">
        <v>2</v>
      </c>
      <c r="M127">
        <v>3</v>
      </c>
      <c r="N127">
        <v>2</v>
      </c>
      <c r="O127">
        <v>0.4</v>
      </c>
      <c r="P127" t="s">
        <v>86</v>
      </c>
      <c r="Q127" t="s">
        <v>124</v>
      </c>
      <c r="R127" t="s">
        <v>66</v>
      </c>
      <c r="S127" t="s">
        <v>66</v>
      </c>
      <c r="T127">
        <v>1</v>
      </c>
      <c r="U127">
        <v>2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</v>
      </c>
      <c r="AE127">
        <v>2</v>
      </c>
      <c r="AF127">
        <v>0</v>
      </c>
      <c r="AG127">
        <v>1</v>
      </c>
      <c r="AH127">
        <v>4</v>
      </c>
      <c r="AI127">
        <v>2</v>
      </c>
      <c r="AJ127">
        <v>5</v>
      </c>
      <c r="AK127">
        <v>2</v>
      </c>
      <c r="AL127">
        <v>9</v>
      </c>
      <c r="AM127">
        <v>0</v>
      </c>
      <c r="AN127" t="s">
        <v>3366</v>
      </c>
      <c r="AO127" t="s">
        <v>68</v>
      </c>
      <c r="AP127">
        <v>0.72899999999999998</v>
      </c>
      <c r="AQ127" t="s">
        <v>69</v>
      </c>
      <c r="AR127">
        <v>14</v>
      </c>
      <c r="AS127">
        <v>2</v>
      </c>
      <c r="AT127">
        <v>2.477E-2</v>
      </c>
      <c r="AU127">
        <v>-4.6699999999999997E-3</v>
      </c>
      <c r="AV127">
        <v>0.12545999999999999</v>
      </c>
      <c r="AW127">
        <v>-2.7089999999999999E-2</v>
      </c>
      <c r="AX127">
        <v>2.6900000000000001E-3</v>
      </c>
      <c r="AY127">
        <v>-4.8999999999999998E-4</v>
      </c>
      <c r="AZ127">
        <v>2.147E-2</v>
      </c>
      <c r="BA127">
        <v>1</v>
      </c>
      <c r="BB127" t="s">
        <v>70</v>
      </c>
      <c r="BC127">
        <v>0.91400000000000003</v>
      </c>
      <c r="BD127">
        <v>0.40600000000000003</v>
      </c>
      <c r="BE127" t="s">
        <v>139</v>
      </c>
    </row>
    <row r="128" spans="1:57">
      <c r="A128">
        <v>3355</v>
      </c>
      <c r="B128" t="s">
        <v>3376</v>
      </c>
      <c r="D128" t="s">
        <v>60</v>
      </c>
      <c r="E128" t="s">
        <v>3377</v>
      </c>
      <c r="F128" t="s">
        <v>3378</v>
      </c>
      <c r="G128">
        <v>153</v>
      </c>
      <c r="H128" t="s">
        <v>63</v>
      </c>
      <c r="I128">
        <v>5</v>
      </c>
      <c r="J128" t="str">
        <f>HYPERLINK("Gene3355-zp_tree_all.dnd", "Gene3355-tree")</f>
        <v>Gene3355-tree</v>
      </c>
      <c r="K128">
        <v>3</v>
      </c>
      <c r="L128">
        <v>2</v>
      </c>
      <c r="M128">
        <v>3</v>
      </c>
      <c r="N128">
        <v>2</v>
      </c>
      <c r="O128">
        <v>0.4</v>
      </c>
      <c r="P128" t="s">
        <v>86</v>
      </c>
      <c r="Q128" t="s">
        <v>124</v>
      </c>
      <c r="R128" t="s">
        <v>66</v>
      </c>
      <c r="S128" t="s">
        <v>66</v>
      </c>
      <c r="T128">
        <v>0</v>
      </c>
      <c r="U128">
        <v>0</v>
      </c>
      <c r="V128">
        <v>7</v>
      </c>
      <c r="W128">
        <v>0</v>
      </c>
      <c r="X128">
        <v>0</v>
      </c>
      <c r="Y128">
        <v>0</v>
      </c>
      <c r="Z128">
        <v>0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3</v>
      </c>
      <c r="AG128">
        <v>0</v>
      </c>
      <c r="AH128">
        <v>5</v>
      </c>
      <c r="AI128">
        <v>2</v>
      </c>
      <c r="AJ128">
        <v>8</v>
      </c>
      <c r="AK128">
        <v>3</v>
      </c>
      <c r="AL128">
        <v>12</v>
      </c>
      <c r="AM128">
        <v>4</v>
      </c>
      <c r="AN128" t="s">
        <v>3379</v>
      </c>
      <c r="AO128" t="s">
        <v>3380</v>
      </c>
      <c r="AP128">
        <v>0.125</v>
      </c>
      <c r="AQ128" t="s">
        <v>69</v>
      </c>
      <c r="AR128">
        <v>20</v>
      </c>
      <c r="AS128">
        <v>7</v>
      </c>
      <c r="AT128">
        <v>2.9819999999999999E-2</v>
      </c>
      <c r="AU128">
        <v>-5.3699999999999998E-3</v>
      </c>
      <c r="AV128">
        <v>0.11067</v>
      </c>
      <c r="AW128">
        <v>-2.2329999999999999E-2</v>
      </c>
      <c r="AX128">
        <v>1.0200000000000001E-2</v>
      </c>
      <c r="AY128">
        <v>-1.81E-3</v>
      </c>
      <c r="AZ128">
        <v>9.2189999999999994E-2</v>
      </c>
      <c r="BA128">
        <v>1</v>
      </c>
      <c r="BB128" t="s">
        <v>70</v>
      </c>
      <c r="BC128">
        <v>0.99199999999999999</v>
      </c>
      <c r="BD128">
        <v>0.74399999999999999</v>
      </c>
      <c r="BE128" t="s">
        <v>139</v>
      </c>
    </row>
    <row r="129" spans="1:57">
      <c r="A129">
        <v>3357</v>
      </c>
      <c r="B129" t="s">
        <v>3381</v>
      </c>
      <c r="D129" t="s">
        <v>60</v>
      </c>
      <c r="E129" t="s">
        <v>3382</v>
      </c>
      <c r="F129" t="s">
        <v>3383</v>
      </c>
      <c r="G129">
        <v>225</v>
      </c>
      <c r="H129" t="s">
        <v>106</v>
      </c>
      <c r="I129">
        <v>4</v>
      </c>
      <c r="J129" t="str">
        <f>HYPERLINK("Gene3357-zp_tree_all.dnd", "Gene3357-tree")</f>
        <v>Gene3357-tree</v>
      </c>
      <c r="K129">
        <v>3</v>
      </c>
      <c r="L129">
        <v>1</v>
      </c>
      <c r="M129">
        <v>3</v>
      </c>
      <c r="N129">
        <v>1</v>
      </c>
      <c r="O129">
        <v>0.25</v>
      </c>
      <c r="P129" t="s">
        <v>86</v>
      </c>
      <c r="Q129" t="s">
        <v>65</v>
      </c>
      <c r="R129" t="s">
        <v>66</v>
      </c>
      <c r="S129" t="s">
        <v>66</v>
      </c>
      <c r="T129">
        <v>0</v>
      </c>
      <c r="U129">
        <v>0</v>
      </c>
      <c r="V129">
        <v>3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3</v>
      </c>
      <c r="AG129">
        <v>0</v>
      </c>
      <c r="AH129">
        <v>4</v>
      </c>
      <c r="AI129">
        <v>1</v>
      </c>
      <c r="AJ129">
        <v>26</v>
      </c>
      <c r="AK129">
        <v>3</v>
      </c>
      <c r="AL129">
        <v>3</v>
      </c>
      <c r="AM129">
        <v>0</v>
      </c>
      <c r="AN129" t="s">
        <v>3384</v>
      </c>
      <c r="AO129" t="s">
        <v>68</v>
      </c>
      <c r="AP129">
        <v>0.42199999999999999</v>
      </c>
      <c r="AQ129" t="s">
        <v>69</v>
      </c>
      <c r="AR129">
        <v>29</v>
      </c>
      <c r="AS129">
        <v>3</v>
      </c>
      <c r="AT129">
        <v>2.3949999999999999E-2</v>
      </c>
      <c r="AU129">
        <v>-6.6E-3</v>
      </c>
      <c r="AV129">
        <v>0.10154000000000001</v>
      </c>
      <c r="AW129">
        <v>-2.7650000000000001E-2</v>
      </c>
      <c r="AX129">
        <v>2.9199999999999999E-3</v>
      </c>
      <c r="AY129">
        <v>-1.1900000000000001E-3</v>
      </c>
      <c r="AZ129">
        <v>2.8740000000000002E-2</v>
      </c>
      <c r="BA129">
        <v>1</v>
      </c>
      <c r="BB129" t="s">
        <v>70</v>
      </c>
      <c r="BC129">
        <v>-0.45400000000000001</v>
      </c>
      <c r="BD129">
        <v>-0.76</v>
      </c>
      <c r="BE129" t="s">
        <v>139</v>
      </c>
    </row>
    <row r="130" spans="1:57">
      <c r="A130">
        <v>3360</v>
      </c>
      <c r="B130" t="s">
        <v>3387</v>
      </c>
      <c r="D130" t="s">
        <v>60</v>
      </c>
      <c r="E130" t="s">
        <v>3388</v>
      </c>
      <c r="F130" t="s">
        <v>3389</v>
      </c>
      <c r="G130">
        <v>291</v>
      </c>
      <c r="H130" t="s">
        <v>63</v>
      </c>
      <c r="I130">
        <v>5</v>
      </c>
      <c r="J130" t="str">
        <f>HYPERLINK("Gene3360-zp_tree_all.dnd", "Gene3360-tree")</f>
        <v>Gene3360-tree</v>
      </c>
      <c r="K130">
        <v>2</v>
      </c>
      <c r="L130">
        <v>3</v>
      </c>
      <c r="M130">
        <v>2</v>
      </c>
      <c r="N130">
        <v>3</v>
      </c>
      <c r="O130">
        <v>0.6</v>
      </c>
      <c r="P130" t="s">
        <v>124</v>
      </c>
      <c r="Q130" t="s">
        <v>86</v>
      </c>
      <c r="R130" t="s">
        <v>66</v>
      </c>
      <c r="S130" t="s">
        <v>66</v>
      </c>
      <c r="T130">
        <v>0</v>
      </c>
      <c r="U130">
        <v>0</v>
      </c>
      <c r="V130">
        <v>10</v>
      </c>
      <c r="W130">
        <v>0</v>
      </c>
      <c r="X130">
        <v>0</v>
      </c>
      <c r="Y130">
        <v>0</v>
      </c>
      <c r="Z130">
        <v>0</v>
      </c>
      <c r="AA130">
        <v>6</v>
      </c>
      <c r="AB130">
        <v>0</v>
      </c>
      <c r="AC130">
        <v>0</v>
      </c>
      <c r="AD130">
        <v>0</v>
      </c>
      <c r="AE130">
        <v>0</v>
      </c>
      <c r="AF130">
        <v>4</v>
      </c>
      <c r="AG130">
        <v>0</v>
      </c>
      <c r="AH130">
        <v>5</v>
      </c>
      <c r="AI130">
        <v>2</v>
      </c>
      <c r="AJ130">
        <v>9</v>
      </c>
      <c r="AK130">
        <v>4</v>
      </c>
      <c r="AL130">
        <v>24</v>
      </c>
      <c r="AM130">
        <v>7</v>
      </c>
      <c r="AN130" t="s">
        <v>3390</v>
      </c>
      <c r="AO130" t="s">
        <v>3391</v>
      </c>
      <c r="AP130">
        <v>0.48699999999999999</v>
      </c>
      <c r="AQ130" t="s">
        <v>69</v>
      </c>
      <c r="AR130">
        <v>33</v>
      </c>
      <c r="AS130">
        <v>11</v>
      </c>
      <c r="AT130">
        <v>2.726E-2</v>
      </c>
      <c r="AU130">
        <v>-5.2199999999999998E-3</v>
      </c>
      <c r="AV130">
        <v>0.10303</v>
      </c>
      <c r="AW130">
        <v>-2.1360000000000001E-2</v>
      </c>
      <c r="AX130">
        <v>8.5800000000000008E-3</v>
      </c>
      <c r="AY130">
        <v>-1.4400000000000001E-3</v>
      </c>
      <c r="AZ130">
        <v>8.3309999999999995E-2</v>
      </c>
      <c r="BA130">
        <v>1</v>
      </c>
      <c r="BB130" t="s">
        <v>70</v>
      </c>
      <c r="BC130">
        <v>0.95599999999999996</v>
      </c>
      <c r="BD130">
        <v>0.95599999999999996</v>
      </c>
      <c r="BE130" t="s">
        <v>139</v>
      </c>
    </row>
    <row r="131" spans="1:57">
      <c r="A131">
        <v>3401</v>
      </c>
      <c r="B131" t="s">
        <v>3410</v>
      </c>
      <c r="D131" t="s">
        <v>60</v>
      </c>
      <c r="E131" t="s">
        <v>3411</v>
      </c>
      <c r="F131" t="s">
        <v>3412</v>
      </c>
      <c r="G131">
        <v>161</v>
      </c>
      <c r="H131" t="s">
        <v>85</v>
      </c>
      <c r="I131">
        <v>4</v>
      </c>
      <c r="J131" t="str">
        <f>HYPERLINK("Gene3401-zp_tree_all.dnd", "Gene3401-tree")</f>
        <v>Gene3401-tree</v>
      </c>
      <c r="K131">
        <v>2</v>
      </c>
      <c r="L131">
        <v>2</v>
      </c>
      <c r="M131">
        <v>2</v>
      </c>
      <c r="N131">
        <v>2</v>
      </c>
      <c r="O131">
        <v>0.5</v>
      </c>
      <c r="P131" t="s">
        <v>124</v>
      </c>
      <c r="Q131" t="s">
        <v>124</v>
      </c>
      <c r="R131" t="s">
        <v>66</v>
      </c>
      <c r="S131" t="s">
        <v>66</v>
      </c>
      <c r="T131">
        <v>1</v>
      </c>
      <c r="U131">
        <v>2</v>
      </c>
      <c r="V131">
        <v>5</v>
      </c>
      <c r="W131">
        <v>0.28571000000000002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</v>
      </c>
      <c r="AE131">
        <v>2</v>
      </c>
      <c r="AF131">
        <v>5</v>
      </c>
      <c r="AG131">
        <v>0.28571000000000002</v>
      </c>
      <c r="AH131">
        <v>3</v>
      </c>
      <c r="AI131">
        <v>1</v>
      </c>
      <c r="AJ131">
        <v>18</v>
      </c>
      <c r="AK131">
        <v>6</v>
      </c>
      <c r="AL131">
        <v>2</v>
      </c>
      <c r="AM131">
        <v>1</v>
      </c>
      <c r="AN131" t="s">
        <v>3413</v>
      </c>
      <c r="AO131" t="s">
        <v>3414</v>
      </c>
      <c r="AP131">
        <v>0.622</v>
      </c>
      <c r="AQ131" t="s">
        <v>69</v>
      </c>
      <c r="AR131">
        <v>20</v>
      </c>
      <c r="AS131">
        <v>7</v>
      </c>
      <c r="AT131">
        <v>2.9170000000000001E-2</v>
      </c>
      <c r="AU131">
        <v>-7.1500000000000001E-3</v>
      </c>
      <c r="AV131">
        <v>0.10528</v>
      </c>
      <c r="AW131">
        <v>-2.8549999999999999E-2</v>
      </c>
      <c r="AX131">
        <v>9.1299999999999992E-3</v>
      </c>
      <c r="AY131">
        <v>-2.0100000000000001E-3</v>
      </c>
      <c r="AZ131">
        <v>8.6669999999999997E-2</v>
      </c>
      <c r="BA131">
        <v>1</v>
      </c>
      <c r="BB131" t="s">
        <v>70</v>
      </c>
      <c r="BC131">
        <v>-0.51</v>
      </c>
      <c r="BD131">
        <v>-0.51</v>
      </c>
      <c r="BE131" t="s">
        <v>139</v>
      </c>
    </row>
    <row r="132" spans="1:57">
      <c r="A132">
        <v>3426</v>
      </c>
      <c r="B132" t="s">
        <v>3447</v>
      </c>
      <c r="D132" t="s">
        <v>60</v>
      </c>
      <c r="E132" t="s">
        <v>3448</v>
      </c>
      <c r="F132" t="s">
        <v>3449</v>
      </c>
      <c r="G132">
        <v>135</v>
      </c>
      <c r="H132" t="s">
        <v>2653</v>
      </c>
      <c r="I132">
        <v>4</v>
      </c>
      <c r="J132" t="str">
        <f>HYPERLINK("Gene3426-zp_tree_all.dnd", "Gene3426-tree")</f>
        <v>Gene3426-tree</v>
      </c>
      <c r="K132">
        <v>3</v>
      </c>
      <c r="L132">
        <v>1</v>
      </c>
      <c r="M132">
        <v>3</v>
      </c>
      <c r="N132">
        <v>1</v>
      </c>
      <c r="O132">
        <v>0.25</v>
      </c>
      <c r="P132" t="s">
        <v>86</v>
      </c>
      <c r="Q132" t="s">
        <v>65</v>
      </c>
      <c r="R132" t="s">
        <v>66</v>
      </c>
      <c r="S132" t="s">
        <v>66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4</v>
      </c>
      <c r="AI132">
        <v>1</v>
      </c>
      <c r="AJ132">
        <v>11</v>
      </c>
      <c r="AK132">
        <v>1</v>
      </c>
      <c r="AL132">
        <v>13</v>
      </c>
      <c r="AM132">
        <v>0</v>
      </c>
      <c r="AN132" t="s">
        <v>3450</v>
      </c>
      <c r="AO132" t="s">
        <v>68</v>
      </c>
      <c r="AP132">
        <v>0.60599999999999998</v>
      </c>
      <c r="AQ132" t="s">
        <v>69</v>
      </c>
      <c r="AR132">
        <v>24</v>
      </c>
      <c r="AS132">
        <v>1</v>
      </c>
      <c r="AT132">
        <v>3.483E-2</v>
      </c>
      <c r="AU132">
        <v>-6.0400000000000002E-3</v>
      </c>
      <c r="AV132">
        <v>0.16794999999999999</v>
      </c>
      <c r="AW132">
        <v>-3.1150000000000001E-2</v>
      </c>
      <c r="AX132">
        <v>1.6100000000000001E-3</v>
      </c>
      <c r="AY132">
        <v>-6.6E-4</v>
      </c>
      <c r="AZ132">
        <v>9.6100000000000005E-3</v>
      </c>
      <c r="BA132">
        <v>1</v>
      </c>
      <c r="BB132" t="s">
        <v>70</v>
      </c>
      <c r="BC132">
        <v>1.1919999999999999</v>
      </c>
      <c r="BD132">
        <v>0.373</v>
      </c>
      <c r="BE132" t="s">
        <v>139</v>
      </c>
    </row>
    <row r="133" spans="1:57">
      <c r="A133">
        <v>3428</v>
      </c>
      <c r="B133" t="s">
        <v>3451</v>
      </c>
      <c r="D133" t="s">
        <v>60</v>
      </c>
      <c r="E133" t="s">
        <v>3452</v>
      </c>
      <c r="F133" t="s">
        <v>3453</v>
      </c>
      <c r="G133">
        <v>108</v>
      </c>
      <c r="H133" t="s">
        <v>2653</v>
      </c>
      <c r="I133">
        <v>4</v>
      </c>
      <c r="J133" t="str">
        <f>HYPERLINK("Gene3428-zp_tree_all.dnd", "Gene3428-tree")</f>
        <v>Gene3428-tree</v>
      </c>
      <c r="K133">
        <v>4</v>
      </c>
      <c r="L133">
        <v>0</v>
      </c>
      <c r="M133">
        <v>4</v>
      </c>
      <c r="N133">
        <v>0</v>
      </c>
      <c r="O133">
        <v>0</v>
      </c>
      <c r="P133" t="s">
        <v>64</v>
      </c>
      <c r="Q133" t="s">
        <v>66</v>
      </c>
      <c r="R133" t="s">
        <v>66</v>
      </c>
      <c r="S133" t="s">
        <v>66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3</v>
      </c>
      <c r="AI133">
        <v>1</v>
      </c>
      <c r="AJ133">
        <v>11</v>
      </c>
      <c r="AK133">
        <v>0</v>
      </c>
      <c r="AL133">
        <v>4</v>
      </c>
      <c r="AM133">
        <v>1</v>
      </c>
      <c r="AN133" t="s">
        <v>68</v>
      </c>
      <c r="AO133" t="s">
        <v>3454</v>
      </c>
      <c r="AP133">
        <v>0</v>
      </c>
      <c r="AQ133" t="s">
        <v>69</v>
      </c>
      <c r="AR133">
        <v>15</v>
      </c>
      <c r="AS133">
        <v>1</v>
      </c>
      <c r="AT133">
        <v>2.6749999999999999E-2</v>
      </c>
      <c r="AU133">
        <v>-4.0899999999999999E-3</v>
      </c>
      <c r="AV133">
        <v>0.11899999999999999</v>
      </c>
      <c r="AW133">
        <v>-1.8499999999999999E-2</v>
      </c>
      <c r="AX133">
        <v>2.6700000000000001E-3</v>
      </c>
      <c r="AY133">
        <v>-6.3000000000000003E-4</v>
      </c>
      <c r="AZ133">
        <v>2.2419999999999999E-2</v>
      </c>
      <c r="BA133">
        <v>1</v>
      </c>
      <c r="BB133" t="s">
        <v>70</v>
      </c>
      <c r="BC133">
        <v>0.60299999999999998</v>
      </c>
      <c r="BD133">
        <v>-1.9E-2</v>
      </c>
      <c r="BE133" t="s">
        <v>139</v>
      </c>
    </row>
    <row r="134" spans="1:57">
      <c r="A134">
        <v>3444</v>
      </c>
      <c r="B134" t="s">
        <v>3455</v>
      </c>
      <c r="D134" t="s">
        <v>60</v>
      </c>
      <c r="E134" t="s">
        <v>3456</v>
      </c>
      <c r="F134" t="s">
        <v>3457</v>
      </c>
      <c r="G134">
        <v>185</v>
      </c>
      <c r="H134" t="s">
        <v>85</v>
      </c>
      <c r="I134">
        <v>4</v>
      </c>
      <c r="J134" t="str">
        <f>HYPERLINK("Gene3444-zp_tree_all.dnd", "Gene3444-tree")</f>
        <v>Gene3444-tree</v>
      </c>
      <c r="K134">
        <v>2</v>
      </c>
      <c r="L134">
        <v>2</v>
      </c>
      <c r="M134">
        <v>2</v>
      </c>
      <c r="N134">
        <v>2</v>
      </c>
      <c r="O134">
        <v>0.5</v>
      </c>
      <c r="P134" t="s">
        <v>124</v>
      </c>
      <c r="Q134" t="s">
        <v>124</v>
      </c>
      <c r="R134" t="s">
        <v>66</v>
      </c>
      <c r="S134" t="s">
        <v>66</v>
      </c>
      <c r="T134">
        <v>0</v>
      </c>
      <c r="U134">
        <v>0</v>
      </c>
      <c r="V134">
        <v>6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6</v>
      </c>
      <c r="AG134">
        <v>0</v>
      </c>
      <c r="AH134">
        <v>4</v>
      </c>
      <c r="AI134">
        <v>1</v>
      </c>
      <c r="AJ134">
        <v>18</v>
      </c>
      <c r="AK134">
        <v>6</v>
      </c>
      <c r="AL134">
        <v>1</v>
      </c>
      <c r="AM134">
        <v>0</v>
      </c>
      <c r="AN134" t="s">
        <v>3458</v>
      </c>
      <c r="AO134" t="s">
        <v>68</v>
      </c>
      <c r="AP134">
        <v>0.68899999999999995</v>
      </c>
      <c r="AQ134" t="s">
        <v>69</v>
      </c>
      <c r="AR134">
        <v>19</v>
      </c>
      <c r="AS134">
        <v>6</v>
      </c>
      <c r="AT134">
        <v>2.3199999999999998E-2</v>
      </c>
      <c r="AU134">
        <v>-5.5100000000000001E-3</v>
      </c>
      <c r="AV134">
        <v>9.1310000000000002E-2</v>
      </c>
      <c r="AW134">
        <v>-2.044E-2</v>
      </c>
      <c r="AX134">
        <v>7.0000000000000001E-3</v>
      </c>
      <c r="AY134">
        <v>-2.2699999999999999E-3</v>
      </c>
      <c r="AZ134">
        <v>7.671E-2</v>
      </c>
      <c r="BA134">
        <v>1</v>
      </c>
      <c r="BB134" t="s">
        <v>70</v>
      </c>
      <c r="BC134">
        <v>-0.73299999999999998</v>
      </c>
      <c r="BD134">
        <v>-0.73299999999999998</v>
      </c>
      <c r="BE134" t="s">
        <v>139</v>
      </c>
    </row>
    <row r="135" spans="1:57">
      <c r="A135">
        <v>3481</v>
      </c>
      <c r="B135" t="s">
        <v>3486</v>
      </c>
      <c r="D135" t="s">
        <v>60</v>
      </c>
      <c r="E135" t="s">
        <v>3487</v>
      </c>
      <c r="F135" t="s">
        <v>74</v>
      </c>
      <c r="G135">
        <v>72</v>
      </c>
      <c r="H135" t="s">
        <v>63</v>
      </c>
      <c r="I135">
        <v>5</v>
      </c>
      <c r="J135" t="str">
        <f>HYPERLINK("Gene3481-zp_tree_all.dnd", "Gene3481-tree")</f>
        <v>Gene3481-tree</v>
      </c>
      <c r="K135">
        <v>5</v>
      </c>
      <c r="L135">
        <v>0</v>
      </c>
      <c r="M135">
        <v>5</v>
      </c>
      <c r="N135">
        <v>0</v>
      </c>
      <c r="O135">
        <v>0</v>
      </c>
      <c r="P135" t="s">
        <v>96</v>
      </c>
      <c r="Q135" t="s">
        <v>66</v>
      </c>
      <c r="R135" t="s">
        <v>66</v>
      </c>
      <c r="S135" t="s">
        <v>66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4</v>
      </c>
      <c r="AI135">
        <v>2</v>
      </c>
      <c r="AJ135">
        <v>11</v>
      </c>
      <c r="AK135">
        <v>0</v>
      </c>
      <c r="AL135">
        <v>5</v>
      </c>
      <c r="AM135">
        <v>0</v>
      </c>
      <c r="AN135" t="s">
        <v>68</v>
      </c>
      <c r="AO135" t="s">
        <v>68</v>
      </c>
      <c r="AP135">
        <v>0</v>
      </c>
      <c r="AQ135" t="s">
        <v>69</v>
      </c>
      <c r="AR135">
        <v>16</v>
      </c>
      <c r="AS135">
        <v>0</v>
      </c>
      <c r="AT135">
        <v>3.1480000000000001E-2</v>
      </c>
      <c r="AU135">
        <v>-3.9199999999999999E-3</v>
      </c>
      <c r="AV135">
        <v>0.16780999999999999</v>
      </c>
      <c r="AW135">
        <v>-2.2630000000000001E-2</v>
      </c>
      <c r="AX135">
        <v>0</v>
      </c>
      <c r="AY135">
        <v>0</v>
      </c>
      <c r="AZ135">
        <v>0</v>
      </c>
      <c r="BA135">
        <v>1</v>
      </c>
      <c r="BB135" t="s">
        <v>70</v>
      </c>
      <c r="BC135">
        <v>8.6999999999999994E-2</v>
      </c>
      <c r="BD135">
        <v>-0.34699999999999998</v>
      </c>
      <c r="BE135" t="s">
        <v>139</v>
      </c>
    </row>
    <row r="136" spans="1:57">
      <c r="A136">
        <v>3504</v>
      </c>
      <c r="B136" t="s">
        <v>3508</v>
      </c>
      <c r="D136" t="s">
        <v>60</v>
      </c>
      <c r="E136" t="s">
        <v>3509</v>
      </c>
      <c r="F136" t="s">
        <v>3510</v>
      </c>
      <c r="G136">
        <v>473</v>
      </c>
      <c r="H136" t="s">
        <v>63</v>
      </c>
      <c r="I136">
        <v>5</v>
      </c>
      <c r="J136" t="str">
        <f>HYPERLINK("Gene3504-zp_tree_all.dnd", "Gene3504-tree")</f>
        <v>Gene3504-tree</v>
      </c>
      <c r="K136">
        <v>2</v>
      </c>
      <c r="L136">
        <v>3</v>
      </c>
      <c r="M136">
        <v>2</v>
      </c>
      <c r="N136">
        <v>3</v>
      </c>
      <c r="O136">
        <v>0.6</v>
      </c>
      <c r="P136" t="s">
        <v>124</v>
      </c>
      <c r="Q136" t="s">
        <v>86</v>
      </c>
      <c r="R136" t="s">
        <v>66</v>
      </c>
      <c r="S136" t="s">
        <v>66</v>
      </c>
      <c r="T136">
        <v>1</v>
      </c>
      <c r="U136">
        <v>2</v>
      </c>
      <c r="V136">
        <v>11</v>
      </c>
      <c r="W136">
        <v>0.15384999999999999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</v>
      </c>
      <c r="AE136">
        <v>2</v>
      </c>
      <c r="AF136">
        <v>11</v>
      </c>
      <c r="AG136">
        <v>0.15384999999999999</v>
      </c>
      <c r="AH136">
        <v>5</v>
      </c>
      <c r="AI136">
        <v>2</v>
      </c>
      <c r="AJ136">
        <v>76</v>
      </c>
      <c r="AK136">
        <v>9</v>
      </c>
      <c r="AL136">
        <v>33</v>
      </c>
      <c r="AM136">
        <v>4</v>
      </c>
      <c r="AN136" t="s">
        <v>3511</v>
      </c>
      <c r="AO136" t="s">
        <v>3512</v>
      </c>
      <c r="AP136">
        <v>3.5999999999999997E-2</v>
      </c>
      <c r="AQ136" t="s">
        <v>69</v>
      </c>
      <c r="AR136">
        <v>109</v>
      </c>
      <c r="AS136">
        <v>13</v>
      </c>
      <c r="AT136">
        <v>3.6080000000000001E-2</v>
      </c>
      <c r="AU136">
        <v>-4.2300000000000003E-3</v>
      </c>
      <c r="AV136">
        <v>0.16034000000000001</v>
      </c>
      <c r="AW136">
        <v>-1.8669999999999999E-2</v>
      </c>
      <c r="AX136">
        <v>5.47E-3</v>
      </c>
      <c r="AY136">
        <v>-1E-3</v>
      </c>
      <c r="AZ136">
        <v>3.4130000000000001E-2</v>
      </c>
      <c r="BA136">
        <v>1</v>
      </c>
      <c r="BB136" t="s">
        <v>70</v>
      </c>
      <c r="BC136">
        <v>0.121</v>
      </c>
      <c r="BD136">
        <v>-0.151</v>
      </c>
      <c r="BE136" t="s">
        <v>139</v>
      </c>
    </row>
    <row r="137" spans="1:57">
      <c r="A137">
        <v>3524</v>
      </c>
      <c r="B137" t="s">
        <v>3513</v>
      </c>
      <c r="D137" t="s">
        <v>60</v>
      </c>
      <c r="E137" t="s">
        <v>3514</v>
      </c>
      <c r="F137" t="s">
        <v>74</v>
      </c>
      <c r="G137">
        <v>106</v>
      </c>
      <c r="H137" t="s">
        <v>63</v>
      </c>
      <c r="I137">
        <v>5</v>
      </c>
      <c r="J137" t="str">
        <f>HYPERLINK("Gene3524-zp_tree_all.dnd", "Gene3524-tree")</f>
        <v>Gene3524-tree</v>
      </c>
      <c r="K137">
        <v>2</v>
      </c>
      <c r="L137">
        <v>3</v>
      </c>
      <c r="M137">
        <v>2</v>
      </c>
      <c r="N137">
        <v>3</v>
      </c>
      <c r="O137">
        <v>0.6</v>
      </c>
      <c r="P137" t="s">
        <v>124</v>
      </c>
      <c r="Q137" t="s">
        <v>86</v>
      </c>
      <c r="R137" t="s">
        <v>66</v>
      </c>
      <c r="S137" t="s">
        <v>66</v>
      </c>
      <c r="T137">
        <v>0</v>
      </c>
      <c r="U137">
        <v>0</v>
      </c>
      <c r="V137">
        <v>4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4</v>
      </c>
      <c r="AI137">
        <v>1</v>
      </c>
      <c r="AJ137">
        <v>12</v>
      </c>
      <c r="AK137">
        <v>3</v>
      </c>
      <c r="AL137">
        <v>9</v>
      </c>
      <c r="AM137">
        <v>1</v>
      </c>
      <c r="AN137" t="s">
        <v>3515</v>
      </c>
      <c r="AO137" t="s">
        <v>3516</v>
      </c>
      <c r="AP137">
        <v>0.64300000000000002</v>
      </c>
      <c r="AQ137" t="s">
        <v>69</v>
      </c>
      <c r="AR137">
        <v>21</v>
      </c>
      <c r="AS137">
        <v>4</v>
      </c>
      <c r="AT137">
        <v>3.7499999999999999E-2</v>
      </c>
      <c r="AU137">
        <v>-6.0800000000000003E-3</v>
      </c>
      <c r="AV137">
        <v>0.17462</v>
      </c>
      <c r="AW137">
        <v>-3.338E-2</v>
      </c>
      <c r="AX137">
        <v>7.3699999999999998E-3</v>
      </c>
      <c r="AY137">
        <v>-1.0399999999999999E-3</v>
      </c>
      <c r="AZ137">
        <v>4.2189999999999998E-2</v>
      </c>
      <c r="BA137">
        <v>1</v>
      </c>
      <c r="BB137" t="s">
        <v>70</v>
      </c>
      <c r="BC137">
        <v>0.11600000000000001</v>
      </c>
      <c r="BD137">
        <v>-0.20699999999999999</v>
      </c>
      <c r="BE137" t="s">
        <v>139</v>
      </c>
    </row>
    <row r="138" spans="1:57">
      <c r="A138">
        <v>3532</v>
      </c>
      <c r="B138" t="s">
        <v>3517</v>
      </c>
      <c r="D138" t="s">
        <v>60</v>
      </c>
      <c r="E138" t="s">
        <v>3518</v>
      </c>
      <c r="F138" t="s">
        <v>818</v>
      </c>
      <c r="G138">
        <v>69</v>
      </c>
      <c r="H138" t="s">
        <v>85</v>
      </c>
      <c r="I138">
        <v>4</v>
      </c>
      <c r="J138" t="str">
        <f>HYPERLINK("Gene3532-zp_tree_all.dnd", "Gene3532-tree")</f>
        <v>Gene3532-tree</v>
      </c>
      <c r="K138">
        <v>1</v>
      </c>
      <c r="L138">
        <v>3</v>
      </c>
      <c r="M138">
        <v>1</v>
      </c>
      <c r="N138">
        <v>3</v>
      </c>
      <c r="O138">
        <v>0.75</v>
      </c>
      <c r="P138" t="s">
        <v>65</v>
      </c>
      <c r="Q138" t="s">
        <v>86</v>
      </c>
      <c r="R138" t="s">
        <v>66</v>
      </c>
      <c r="S138" t="s">
        <v>66</v>
      </c>
      <c r="T138">
        <v>0</v>
      </c>
      <c r="U138">
        <v>0</v>
      </c>
      <c r="V138">
        <v>4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4</v>
      </c>
      <c r="AI138">
        <v>1</v>
      </c>
      <c r="AJ138">
        <v>3</v>
      </c>
      <c r="AK138">
        <v>4</v>
      </c>
      <c r="AL138">
        <v>1</v>
      </c>
      <c r="AM138">
        <v>0</v>
      </c>
      <c r="AN138" t="s">
        <v>3519</v>
      </c>
      <c r="AO138" t="s">
        <v>68</v>
      </c>
      <c r="AP138">
        <v>1.1539999999999999</v>
      </c>
      <c r="AQ138" t="s">
        <v>69</v>
      </c>
      <c r="AR138">
        <v>4</v>
      </c>
      <c r="AS138">
        <v>4</v>
      </c>
      <c r="AT138">
        <v>2.0129999999999999E-2</v>
      </c>
      <c r="AU138">
        <v>-3.0999999999999999E-3</v>
      </c>
      <c r="AV138">
        <v>4.7359999999999999E-2</v>
      </c>
      <c r="AW138">
        <v>-9.8300000000000002E-3</v>
      </c>
      <c r="AX138">
        <v>1.2670000000000001E-2</v>
      </c>
      <c r="AY138">
        <v>-2.1299999999999999E-3</v>
      </c>
      <c r="AZ138">
        <v>0.26752999999999999</v>
      </c>
      <c r="BA138">
        <v>0.91100000000000003</v>
      </c>
      <c r="BB138" t="s">
        <v>188</v>
      </c>
      <c r="BC138">
        <v>-0.44600000000000001</v>
      </c>
      <c r="BD138">
        <v>-0.44600000000000001</v>
      </c>
      <c r="BE138" t="s">
        <v>139</v>
      </c>
    </row>
    <row r="139" spans="1:57">
      <c r="A139">
        <v>3610</v>
      </c>
      <c r="B139" t="s">
        <v>3592</v>
      </c>
      <c r="D139" t="s">
        <v>60</v>
      </c>
      <c r="E139" t="s">
        <v>3593</v>
      </c>
      <c r="F139" t="s">
        <v>3594</v>
      </c>
      <c r="G139">
        <v>217</v>
      </c>
      <c r="H139" t="s">
        <v>106</v>
      </c>
      <c r="I139">
        <v>4</v>
      </c>
      <c r="J139" t="str">
        <f>HYPERLINK("Gene3610-zp_tree_all.dnd", "Gene3610-tree")</f>
        <v>Gene3610-tree</v>
      </c>
      <c r="K139">
        <v>2</v>
      </c>
      <c r="L139">
        <v>2</v>
      </c>
      <c r="M139">
        <v>2</v>
      </c>
      <c r="N139">
        <v>2</v>
      </c>
      <c r="O139">
        <v>0.5</v>
      </c>
      <c r="P139" t="s">
        <v>124</v>
      </c>
      <c r="Q139" t="s">
        <v>124</v>
      </c>
      <c r="R139" t="s">
        <v>66</v>
      </c>
      <c r="S139" t="s">
        <v>66</v>
      </c>
      <c r="T139">
        <v>0</v>
      </c>
      <c r="U139">
        <v>0</v>
      </c>
      <c r="V139">
        <v>6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6</v>
      </c>
      <c r="AG139">
        <v>0</v>
      </c>
      <c r="AH139">
        <v>4</v>
      </c>
      <c r="AI139">
        <v>1</v>
      </c>
      <c r="AJ139">
        <v>28</v>
      </c>
      <c r="AK139">
        <v>6</v>
      </c>
      <c r="AL139">
        <v>4</v>
      </c>
      <c r="AM139">
        <v>0</v>
      </c>
      <c r="AN139" t="s">
        <v>3595</v>
      </c>
      <c r="AO139" t="s">
        <v>68</v>
      </c>
      <c r="AP139">
        <v>0.63600000000000001</v>
      </c>
      <c r="AQ139" t="s">
        <v>69</v>
      </c>
      <c r="AR139">
        <v>32</v>
      </c>
      <c r="AS139">
        <v>6</v>
      </c>
      <c r="AT139">
        <v>2.9190000000000001E-2</v>
      </c>
      <c r="AU139">
        <v>-6.9699999999999996E-3</v>
      </c>
      <c r="AV139">
        <v>0.12801999999999999</v>
      </c>
      <c r="AW139">
        <v>-3.0429999999999999E-2</v>
      </c>
      <c r="AX139">
        <v>5.8999999999999999E-3</v>
      </c>
      <c r="AY139">
        <v>-1.92E-3</v>
      </c>
      <c r="AZ139">
        <v>4.6120000000000001E-2</v>
      </c>
      <c r="BA139">
        <v>1</v>
      </c>
      <c r="BB139" t="s">
        <v>70</v>
      </c>
      <c r="BC139">
        <v>-0.33600000000000002</v>
      </c>
      <c r="BD139">
        <v>-0.86399999999999999</v>
      </c>
      <c r="BE139" t="s">
        <v>139</v>
      </c>
    </row>
    <row r="140" spans="1:57">
      <c r="A140">
        <v>3692</v>
      </c>
      <c r="B140" t="s">
        <v>3629</v>
      </c>
      <c r="D140" t="s">
        <v>60</v>
      </c>
      <c r="E140" t="s">
        <v>3630</v>
      </c>
      <c r="F140" t="s">
        <v>74</v>
      </c>
      <c r="G140">
        <v>136</v>
      </c>
      <c r="H140" t="s">
        <v>63</v>
      </c>
      <c r="I140">
        <v>5</v>
      </c>
      <c r="J140" t="str">
        <f>HYPERLINK("Gene3692-zp_tree_all.dnd", "Gene3692-tree")</f>
        <v>Gene3692-tree</v>
      </c>
      <c r="K140">
        <v>3</v>
      </c>
      <c r="L140">
        <v>2</v>
      </c>
      <c r="M140">
        <v>3</v>
      </c>
      <c r="N140">
        <v>2</v>
      </c>
      <c r="O140">
        <v>0.4</v>
      </c>
      <c r="P140" t="s">
        <v>86</v>
      </c>
      <c r="Q140" t="s">
        <v>124</v>
      </c>
      <c r="R140" t="s">
        <v>66</v>
      </c>
      <c r="S140" t="s">
        <v>66</v>
      </c>
      <c r="T140">
        <v>0</v>
      </c>
      <c r="U140">
        <v>0</v>
      </c>
      <c r="V140">
        <v>9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9</v>
      </c>
      <c r="AG140">
        <v>0</v>
      </c>
      <c r="AH140">
        <v>4</v>
      </c>
      <c r="AI140">
        <v>1</v>
      </c>
      <c r="AJ140">
        <v>12</v>
      </c>
      <c r="AK140">
        <v>6</v>
      </c>
      <c r="AL140">
        <v>5</v>
      </c>
      <c r="AM140">
        <v>4</v>
      </c>
      <c r="AN140" t="s">
        <v>3631</v>
      </c>
      <c r="AO140" t="s">
        <v>3632</v>
      </c>
      <c r="AP140">
        <v>0.51100000000000001</v>
      </c>
      <c r="AQ140" t="s">
        <v>69</v>
      </c>
      <c r="AR140">
        <v>17</v>
      </c>
      <c r="AS140">
        <v>10</v>
      </c>
      <c r="AT140">
        <v>3.0620000000000001E-2</v>
      </c>
      <c r="AU140">
        <v>-5.3899999999999998E-3</v>
      </c>
      <c r="AV140">
        <v>9.3670000000000003E-2</v>
      </c>
      <c r="AW140">
        <v>-1.5879999999999998E-2</v>
      </c>
      <c r="AX140">
        <v>1.537E-2</v>
      </c>
      <c r="AY140">
        <v>-3.5699999999999998E-3</v>
      </c>
      <c r="AZ140">
        <v>0.16411000000000001</v>
      </c>
      <c r="BA140">
        <v>1</v>
      </c>
      <c r="BB140" t="s">
        <v>70</v>
      </c>
      <c r="BC140">
        <v>-4.8000000000000001E-2</v>
      </c>
      <c r="BD140">
        <v>-0.28699999999999998</v>
      </c>
      <c r="BE140" t="s">
        <v>139</v>
      </c>
    </row>
    <row r="141" spans="1:57">
      <c r="A141">
        <v>3703</v>
      </c>
      <c r="B141" t="s">
        <v>3650</v>
      </c>
      <c r="D141" t="s">
        <v>60</v>
      </c>
      <c r="E141" t="s">
        <v>3651</v>
      </c>
      <c r="F141" t="s">
        <v>3652</v>
      </c>
      <c r="G141">
        <v>137</v>
      </c>
      <c r="H141" t="s">
        <v>63</v>
      </c>
      <c r="I141">
        <v>5</v>
      </c>
      <c r="J141" t="str">
        <f>HYPERLINK("Gene3703-zp_tree_all.dnd", "Gene3703-tree")</f>
        <v>Gene3703-tree</v>
      </c>
      <c r="K141">
        <v>4</v>
      </c>
      <c r="L141">
        <v>1</v>
      </c>
      <c r="M141">
        <v>4</v>
      </c>
      <c r="N141">
        <v>1</v>
      </c>
      <c r="O141">
        <v>0.2</v>
      </c>
      <c r="P141" t="s">
        <v>64</v>
      </c>
      <c r="Q141" t="s">
        <v>65</v>
      </c>
      <c r="R141" t="s">
        <v>66</v>
      </c>
      <c r="S141" t="s">
        <v>66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5</v>
      </c>
      <c r="AI141">
        <v>2</v>
      </c>
      <c r="AJ141">
        <v>11</v>
      </c>
      <c r="AK141">
        <v>1</v>
      </c>
      <c r="AL141">
        <v>6</v>
      </c>
      <c r="AM141">
        <v>1</v>
      </c>
      <c r="AN141" t="s">
        <v>3653</v>
      </c>
      <c r="AO141" t="s">
        <v>3654</v>
      </c>
      <c r="AP141">
        <v>0.30299999999999999</v>
      </c>
      <c r="AQ141" t="s">
        <v>69</v>
      </c>
      <c r="AR141">
        <v>17</v>
      </c>
      <c r="AS141">
        <v>2</v>
      </c>
      <c r="AT141">
        <v>2.1409999999999998E-2</v>
      </c>
      <c r="AU141">
        <v>-2.96E-3</v>
      </c>
      <c r="AV141">
        <v>9.5880000000000007E-2</v>
      </c>
      <c r="AW141">
        <v>-1.272E-2</v>
      </c>
      <c r="AX141">
        <v>3.0999999999999999E-3</v>
      </c>
      <c r="AY141">
        <v>-7.6000000000000004E-4</v>
      </c>
      <c r="AZ141">
        <v>3.236E-2</v>
      </c>
      <c r="BA141">
        <v>1</v>
      </c>
      <c r="BB141" t="s">
        <v>70</v>
      </c>
      <c r="BC141">
        <v>0.13600000000000001</v>
      </c>
      <c r="BD141">
        <v>0.13600000000000001</v>
      </c>
      <c r="BE141" t="s">
        <v>139</v>
      </c>
    </row>
    <row r="142" spans="1:57">
      <c r="A142">
        <v>3711</v>
      </c>
      <c r="B142" t="s">
        <v>3655</v>
      </c>
      <c r="D142" t="s">
        <v>60</v>
      </c>
      <c r="E142" t="s">
        <v>3656</v>
      </c>
      <c r="F142" t="s">
        <v>3657</v>
      </c>
      <c r="G142">
        <v>116</v>
      </c>
      <c r="H142" t="s">
        <v>85</v>
      </c>
      <c r="I142">
        <v>4</v>
      </c>
      <c r="J142" t="str">
        <f>HYPERLINK("Gene3711-zp_tree_all.dnd", "Gene3711-tree")</f>
        <v>Gene3711-tree</v>
      </c>
      <c r="K142">
        <v>4</v>
      </c>
      <c r="L142">
        <v>0</v>
      </c>
      <c r="M142">
        <v>4</v>
      </c>
      <c r="N142">
        <v>0</v>
      </c>
      <c r="O142">
        <v>0</v>
      </c>
      <c r="P142" t="s">
        <v>64</v>
      </c>
      <c r="Q142" t="s">
        <v>66</v>
      </c>
      <c r="R142" t="s">
        <v>66</v>
      </c>
      <c r="S142" t="s">
        <v>66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3</v>
      </c>
      <c r="AI142">
        <v>1</v>
      </c>
      <c r="AJ142">
        <v>17</v>
      </c>
      <c r="AK142">
        <v>0</v>
      </c>
      <c r="AL142">
        <v>1</v>
      </c>
      <c r="AM142">
        <v>0</v>
      </c>
      <c r="AN142" t="s">
        <v>68</v>
      </c>
      <c r="AO142" t="s">
        <v>68</v>
      </c>
      <c r="AP142">
        <v>0</v>
      </c>
      <c r="AQ142" t="s">
        <v>69</v>
      </c>
      <c r="AR142">
        <v>18</v>
      </c>
      <c r="AS142">
        <v>0</v>
      </c>
      <c r="AT142">
        <v>2.657E-2</v>
      </c>
      <c r="AU142">
        <v>-8.5199999999999998E-3</v>
      </c>
      <c r="AV142">
        <v>0.13148000000000001</v>
      </c>
      <c r="AW142">
        <v>-4.3580000000000001E-2</v>
      </c>
      <c r="AX142">
        <v>0</v>
      </c>
      <c r="AY142">
        <v>0</v>
      </c>
      <c r="AZ142">
        <v>0</v>
      </c>
      <c r="BA142">
        <v>1</v>
      </c>
      <c r="BB142" t="s">
        <v>70</v>
      </c>
      <c r="BC142">
        <v>-0.67800000000000005</v>
      </c>
      <c r="BD142">
        <v>-0.67800000000000005</v>
      </c>
      <c r="BE142" t="s">
        <v>139</v>
      </c>
    </row>
    <row r="143" spans="1:57">
      <c r="A143">
        <v>3720</v>
      </c>
      <c r="B143" t="s">
        <v>3658</v>
      </c>
      <c r="D143" t="s">
        <v>60</v>
      </c>
      <c r="E143" t="s">
        <v>3659</v>
      </c>
      <c r="F143" t="s">
        <v>74</v>
      </c>
      <c r="G143">
        <v>127</v>
      </c>
      <c r="H143" t="s">
        <v>106</v>
      </c>
      <c r="I143">
        <v>4</v>
      </c>
      <c r="J143" t="str">
        <f>HYPERLINK("Gene3720-zp_tree_all.dnd", "Gene3720-tree")</f>
        <v>Gene3720-tree</v>
      </c>
      <c r="K143">
        <v>2</v>
      </c>
      <c r="L143">
        <v>2</v>
      </c>
      <c r="M143">
        <v>2</v>
      </c>
      <c r="N143">
        <v>2</v>
      </c>
      <c r="O143">
        <v>0.5</v>
      </c>
      <c r="P143" t="s">
        <v>124</v>
      </c>
      <c r="Q143" t="s">
        <v>124</v>
      </c>
      <c r="R143" t="s">
        <v>66</v>
      </c>
      <c r="S143" t="s">
        <v>66</v>
      </c>
      <c r="T143">
        <v>0</v>
      </c>
      <c r="U143">
        <v>0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4</v>
      </c>
      <c r="AG143">
        <v>0</v>
      </c>
      <c r="AH143">
        <v>2</v>
      </c>
      <c r="AI143">
        <v>1</v>
      </c>
      <c r="AJ143">
        <v>13</v>
      </c>
      <c r="AK143">
        <v>5</v>
      </c>
      <c r="AL143">
        <v>1</v>
      </c>
      <c r="AM143">
        <v>0</v>
      </c>
      <c r="AN143" t="s">
        <v>3660</v>
      </c>
      <c r="AO143" t="s">
        <v>68</v>
      </c>
      <c r="AP143">
        <v>1.038</v>
      </c>
      <c r="AQ143" t="s">
        <v>69</v>
      </c>
      <c r="AR143">
        <v>14</v>
      </c>
      <c r="AS143">
        <v>5</v>
      </c>
      <c r="AT143">
        <v>2.6409999999999999E-2</v>
      </c>
      <c r="AU143">
        <v>-9.3200000000000002E-3</v>
      </c>
      <c r="AV143">
        <v>9.8699999999999996E-2</v>
      </c>
      <c r="AW143">
        <v>-3.7039999999999997E-2</v>
      </c>
      <c r="AX143">
        <v>8.8800000000000007E-3</v>
      </c>
      <c r="AY143">
        <v>-2.7499999999999998E-3</v>
      </c>
      <c r="AZ143">
        <v>8.9940000000000006E-2</v>
      </c>
      <c r="BA143">
        <v>1</v>
      </c>
      <c r="BB143" t="s">
        <v>70</v>
      </c>
      <c r="BC143">
        <v>-0.68899999999999995</v>
      </c>
      <c r="BD143">
        <v>-0.68899999999999995</v>
      </c>
      <c r="BE143" t="s">
        <v>139</v>
      </c>
    </row>
    <row r="144" spans="1:57">
      <c r="A144">
        <v>3773</v>
      </c>
      <c r="B144" t="s">
        <v>3766</v>
      </c>
      <c r="D144" t="s">
        <v>60</v>
      </c>
      <c r="E144" t="s">
        <v>3767</v>
      </c>
      <c r="F144" t="s">
        <v>74</v>
      </c>
      <c r="G144">
        <v>173</v>
      </c>
      <c r="H144" t="s">
        <v>106</v>
      </c>
      <c r="I144">
        <v>4</v>
      </c>
      <c r="J144" t="str">
        <f>HYPERLINK("Gene3773-zp_tree_all.dnd", "Gene3773-tree")</f>
        <v>Gene3773-tree</v>
      </c>
      <c r="K144">
        <v>0</v>
      </c>
      <c r="L144">
        <v>4</v>
      </c>
      <c r="M144">
        <v>0</v>
      </c>
      <c r="N144">
        <v>4</v>
      </c>
      <c r="O144">
        <v>1</v>
      </c>
      <c r="P144" t="s">
        <v>66</v>
      </c>
      <c r="Q144" t="s">
        <v>64</v>
      </c>
      <c r="R144" t="s">
        <v>66</v>
      </c>
      <c r="S144" t="s">
        <v>66</v>
      </c>
      <c r="T144">
        <v>0</v>
      </c>
      <c r="U144">
        <v>0</v>
      </c>
      <c r="V144">
        <v>8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8</v>
      </c>
      <c r="AG144">
        <v>0</v>
      </c>
      <c r="AH144">
        <v>4</v>
      </c>
      <c r="AI144">
        <v>0</v>
      </c>
      <c r="AJ144">
        <v>21</v>
      </c>
      <c r="AK144">
        <v>9</v>
      </c>
      <c r="AL144">
        <v>0</v>
      </c>
      <c r="AM144">
        <v>0</v>
      </c>
      <c r="AN144" t="s">
        <v>3768</v>
      </c>
      <c r="AO144" t="s">
        <v>68</v>
      </c>
      <c r="AP144">
        <v>1.3140000000000001</v>
      </c>
      <c r="AQ144" t="s">
        <v>69</v>
      </c>
      <c r="AR144">
        <v>21</v>
      </c>
      <c r="AS144">
        <v>9</v>
      </c>
      <c r="AT144">
        <v>2.8899999999999999E-2</v>
      </c>
      <c r="AU144">
        <v>-6.11E-3</v>
      </c>
      <c r="AV144">
        <v>9.393E-2</v>
      </c>
      <c r="AW144">
        <v>-2.5389999999999999E-2</v>
      </c>
      <c r="AX144">
        <v>1.1429999999999999E-2</v>
      </c>
      <c r="AY144">
        <v>-1.31E-3</v>
      </c>
      <c r="AZ144">
        <v>0.1217</v>
      </c>
      <c r="BA144">
        <v>1</v>
      </c>
      <c r="BB144" t="s">
        <v>70</v>
      </c>
      <c r="BC144">
        <v>-0.86099999999999999</v>
      </c>
      <c r="BD144">
        <v>-0.86099999999999999</v>
      </c>
      <c r="BE144" t="s">
        <v>139</v>
      </c>
    </row>
    <row r="145" spans="1:57">
      <c r="A145">
        <v>3861</v>
      </c>
      <c r="B145" t="s">
        <v>3821</v>
      </c>
      <c r="D145" t="s">
        <v>60</v>
      </c>
      <c r="E145" t="s">
        <v>3822</v>
      </c>
      <c r="F145" t="s">
        <v>3823</v>
      </c>
      <c r="G145">
        <v>271</v>
      </c>
      <c r="H145" t="s">
        <v>63</v>
      </c>
      <c r="I145">
        <v>5</v>
      </c>
      <c r="J145" t="str">
        <f>HYPERLINK("Gene3861-zp_tree_all.dnd", "Gene3861-tree")</f>
        <v>Gene3861-tree</v>
      </c>
      <c r="K145">
        <v>1</v>
      </c>
      <c r="L145">
        <v>4</v>
      </c>
      <c r="M145">
        <v>1</v>
      </c>
      <c r="N145">
        <v>3</v>
      </c>
      <c r="O145">
        <v>0.75</v>
      </c>
      <c r="P145" t="s">
        <v>65</v>
      </c>
      <c r="Q145" t="s">
        <v>112</v>
      </c>
      <c r="R145">
        <v>5</v>
      </c>
      <c r="S145" t="s">
        <v>239</v>
      </c>
      <c r="T145">
        <v>0</v>
      </c>
      <c r="U145">
        <v>0</v>
      </c>
      <c r="V145">
        <v>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4</v>
      </c>
      <c r="AG145">
        <v>0</v>
      </c>
      <c r="AH145">
        <v>4</v>
      </c>
      <c r="AI145">
        <v>1</v>
      </c>
      <c r="AJ145">
        <v>34</v>
      </c>
      <c r="AK145">
        <v>3</v>
      </c>
      <c r="AL145">
        <v>21</v>
      </c>
      <c r="AM145">
        <v>1</v>
      </c>
      <c r="AN145" t="s">
        <v>3824</v>
      </c>
      <c r="AO145" t="s">
        <v>3825</v>
      </c>
      <c r="AP145">
        <v>1.6859999999999999</v>
      </c>
      <c r="AQ145" t="s">
        <v>69</v>
      </c>
      <c r="AR145">
        <v>55</v>
      </c>
      <c r="AS145">
        <v>4</v>
      </c>
      <c r="AT145">
        <v>3.9359999999999999E-2</v>
      </c>
      <c r="AU145">
        <v>-5.3699999999999998E-3</v>
      </c>
      <c r="AV145">
        <v>0.17760000000000001</v>
      </c>
      <c r="AW145">
        <v>-2.6919999999999999E-2</v>
      </c>
      <c r="AX145">
        <v>3.5000000000000001E-3</v>
      </c>
      <c r="AY145">
        <v>-4.4999999999999999E-4</v>
      </c>
      <c r="AZ145">
        <v>1.968E-2</v>
      </c>
      <c r="BA145">
        <v>1</v>
      </c>
      <c r="BB145" t="s">
        <v>70</v>
      </c>
      <c r="BC145">
        <v>0.372</v>
      </c>
      <c r="BD145">
        <v>0.114</v>
      </c>
      <c r="BE145" t="s">
        <v>139</v>
      </c>
    </row>
    <row r="146" spans="1:57">
      <c r="A146">
        <v>3872</v>
      </c>
      <c r="B146" t="s">
        <v>3833</v>
      </c>
      <c r="D146" t="s">
        <v>60</v>
      </c>
      <c r="E146" t="s">
        <v>3834</v>
      </c>
      <c r="F146" t="s">
        <v>3835</v>
      </c>
      <c r="G146">
        <v>87</v>
      </c>
      <c r="H146" t="s">
        <v>63</v>
      </c>
      <c r="I146">
        <v>5</v>
      </c>
      <c r="J146" t="str">
        <f>HYPERLINK("Gene3872-zp_tree_all.dnd", "Gene3872-tree")</f>
        <v>Gene3872-tree</v>
      </c>
      <c r="K146">
        <v>5</v>
      </c>
      <c r="L146">
        <v>0</v>
      </c>
      <c r="M146">
        <v>5</v>
      </c>
      <c r="N146">
        <v>0</v>
      </c>
      <c r="O146">
        <v>0</v>
      </c>
      <c r="P146" t="s">
        <v>96</v>
      </c>
      <c r="Q146" t="s">
        <v>66</v>
      </c>
      <c r="R146" t="s">
        <v>66</v>
      </c>
      <c r="S146" t="s">
        <v>66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4</v>
      </c>
      <c r="AI146">
        <v>1</v>
      </c>
      <c r="AJ146">
        <v>7</v>
      </c>
      <c r="AK146">
        <v>0</v>
      </c>
      <c r="AL146">
        <v>6</v>
      </c>
      <c r="AM146">
        <v>0</v>
      </c>
      <c r="AN146" t="s">
        <v>68</v>
      </c>
      <c r="AO146" t="s">
        <v>68</v>
      </c>
      <c r="AP146">
        <v>0</v>
      </c>
      <c r="AQ146" t="s">
        <v>69</v>
      </c>
      <c r="AR146">
        <v>13</v>
      </c>
      <c r="AS146">
        <v>0</v>
      </c>
      <c r="AT146">
        <v>2.452E-2</v>
      </c>
      <c r="AU146">
        <v>-4.3400000000000001E-3</v>
      </c>
      <c r="AV146">
        <v>0.11864</v>
      </c>
      <c r="AW146">
        <v>-2.164E-2</v>
      </c>
      <c r="AX146">
        <v>0</v>
      </c>
      <c r="AY146">
        <v>0</v>
      </c>
      <c r="AZ146">
        <v>0</v>
      </c>
      <c r="BA146">
        <v>1</v>
      </c>
      <c r="BB146" t="s">
        <v>70</v>
      </c>
      <c r="BC146">
        <v>0.186</v>
      </c>
      <c r="BD146">
        <v>0.186</v>
      </c>
      <c r="BE146" t="s">
        <v>139</v>
      </c>
    </row>
    <row r="147" spans="1:57">
      <c r="A147">
        <v>3892</v>
      </c>
      <c r="B147" t="s">
        <v>3855</v>
      </c>
      <c r="D147" t="s">
        <v>60</v>
      </c>
      <c r="E147" t="s">
        <v>3856</v>
      </c>
      <c r="F147" t="s">
        <v>3857</v>
      </c>
      <c r="G147">
        <v>128</v>
      </c>
      <c r="H147" t="s">
        <v>63</v>
      </c>
      <c r="I147">
        <v>5</v>
      </c>
      <c r="J147" t="str">
        <f>HYPERLINK("Gene3892-zp_tree_all.dnd", "Gene3892-tree")</f>
        <v>Gene3892-tree</v>
      </c>
      <c r="K147">
        <v>3</v>
      </c>
      <c r="L147">
        <v>2</v>
      </c>
      <c r="M147">
        <v>3</v>
      </c>
      <c r="N147">
        <v>1</v>
      </c>
      <c r="O147">
        <v>0.25</v>
      </c>
      <c r="P147" t="s">
        <v>86</v>
      </c>
      <c r="Q147" t="s">
        <v>65</v>
      </c>
      <c r="R147" t="s">
        <v>66</v>
      </c>
      <c r="S147" t="s">
        <v>66</v>
      </c>
      <c r="T147">
        <v>0</v>
      </c>
      <c r="U147">
        <v>0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3</v>
      </c>
      <c r="AI147">
        <v>1</v>
      </c>
      <c r="AJ147">
        <v>9</v>
      </c>
      <c r="AK147">
        <v>1</v>
      </c>
      <c r="AL147">
        <v>5</v>
      </c>
      <c r="AM147">
        <v>1</v>
      </c>
      <c r="AN147" t="s">
        <v>3858</v>
      </c>
      <c r="AO147" t="s">
        <v>3859</v>
      </c>
      <c r="AP147">
        <v>0.60599999999999998</v>
      </c>
      <c r="AQ147" t="s">
        <v>69</v>
      </c>
      <c r="AR147">
        <v>14</v>
      </c>
      <c r="AS147">
        <v>2</v>
      </c>
      <c r="AT147">
        <v>2.257E-2</v>
      </c>
      <c r="AU147">
        <v>-4.0099999999999997E-3</v>
      </c>
      <c r="AV147">
        <v>8.7760000000000005E-2</v>
      </c>
      <c r="AW147">
        <v>-1.541E-2</v>
      </c>
      <c r="AX147">
        <v>4.0000000000000001E-3</v>
      </c>
      <c r="AY147">
        <v>-9.6000000000000002E-4</v>
      </c>
      <c r="AZ147">
        <v>4.5609999999999998E-2</v>
      </c>
      <c r="BA147">
        <v>1</v>
      </c>
      <c r="BB147" t="s">
        <v>70</v>
      </c>
      <c r="BC147">
        <v>1.4219999999999999</v>
      </c>
      <c r="BD147">
        <v>1.4219999999999999</v>
      </c>
      <c r="BE147" t="s">
        <v>139</v>
      </c>
    </row>
    <row r="148" spans="1:57">
      <c r="A148">
        <v>3902</v>
      </c>
      <c r="B148" t="s">
        <v>3864</v>
      </c>
      <c r="D148" t="s">
        <v>60</v>
      </c>
      <c r="E148" t="s">
        <v>3865</v>
      </c>
      <c r="F148" t="s">
        <v>3866</v>
      </c>
      <c r="G148">
        <v>280</v>
      </c>
      <c r="H148" t="s">
        <v>63</v>
      </c>
      <c r="I148">
        <v>5</v>
      </c>
      <c r="J148" t="str">
        <f>HYPERLINK("Gene3902-zp_tree_all.dnd", "Gene3902-tree")</f>
        <v>Gene3902-tree</v>
      </c>
      <c r="K148">
        <v>2</v>
      </c>
      <c r="L148">
        <v>3</v>
      </c>
      <c r="M148">
        <v>2</v>
      </c>
      <c r="N148">
        <v>3</v>
      </c>
      <c r="O148">
        <v>0.6</v>
      </c>
      <c r="P148" t="s">
        <v>124</v>
      </c>
      <c r="Q148" t="s">
        <v>86</v>
      </c>
      <c r="R148" t="s">
        <v>66</v>
      </c>
      <c r="S148" t="s">
        <v>66</v>
      </c>
      <c r="T148">
        <v>0</v>
      </c>
      <c r="U148">
        <v>0</v>
      </c>
      <c r="V148">
        <v>11</v>
      </c>
      <c r="W148">
        <v>0</v>
      </c>
      <c r="X148">
        <v>0</v>
      </c>
      <c r="Y148">
        <v>0</v>
      </c>
      <c r="Z148">
        <v>0</v>
      </c>
      <c r="AA148">
        <v>5</v>
      </c>
      <c r="AB148">
        <v>0</v>
      </c>
      <c r="AC148">
        <v>0</v>
      </c>
      <c r="AD148">
        <v>0</v>
      </c>
      <c r="AE148">
        <v>0</v>
      </c>
      <c r="AF148">
        <v>6</v>
      </c>
      <c r="AG148">
        <v>0</v>
      </c>
      <c r="AH148">
        <v>5</v>
      </c>
      <c r="AI148">
        <v>2</v>
      </c>
      <c r="AJ148">
        <v>21</v>
      </c>
      <c r="AK148">
        <v>6</v>
      </c>
      <c r="AL148">
        <v>28</v>
      </c>
      <c r="AM148">
        <v>5</v>
      </c>
      <c r="AN148" t="s">
        <v>3867</v>
      </c>
      <c r="AO148" t="s">
        <v>3868</v>
      </c>
      <c r="AP148">
        <v>0.55100000000000005</v>
      </c>
      <c r="AQ148" t="s">
        <v>69</v>
      </c>
      <c r="AR148">
        <v>49</v>
      </c>
      <c r="AS148">
        <v>11</v>
      </c>
      <c r="AT148">
        <v>3.5830000000000001E-2</v>
      </c>
      <c r="AU148">
        <v>-5.3499999999999997E-3</v>
      </c>
      <c r="AV148">
        <v>0.16009999999999999</v>
      </c>
      <c r="AW148">
        <v>-2.819E-2</v>
      </c>
      <c r="AX148">
        <v>8.1899999999999994E-3</v>
      </c>
      <c r="AY148">
        <v>-1.1199999999999999E-3</v>
      </c>
      <c r="AZ148">
        <v>5.1180000000000003E-2</v>
      </c>
      <c r="BA148">
        <v>1</v>
      </c>
      <c r="BB148" t="s">
        <v>70</v>
      </c>
      <c r="BC148">
        <v>0.61399999999999999</v>
      </c>
      <c r="BD148">
        <v>0.36899999999999999</v>
      </c>
      <c r="BE148" t="s">
        <v>139</v>
      </c>
    </row>
    <row r="149" spans="1:57">
      <c r="A149">
        <v>3912</v>
      </c>
      <c r="B149" t="s">
        <v>3880</v>
      </c>
      <c r="D149" t="s">
        <v>60</v>
      </c>
      <c r="E149" t="s">
        <v>3881</v>
      </c>
      <c r="F149" t="s">
        <v>3882</v>
      </c>
      <c r="G149">
        <v>395</v>
      </c>
      <c r="H149" t="s">
        <v>63</v>
      </c>
      <c r="I149">
        <v>5</v>
      </c>
      <c r="J149" t="str">
        <f>HYPERLINK("Gene3912-zp_tree_all.dnd", "Gene3912-tree")</f>
        <v>Gene3912-tree</v>
      </c>
      <c r="K149">
        <v>2</v>
      </c>
      <c r="L149">
        <v>3</v>
      </c>
      <c r="M149">
        <v>2</v>
      </c>
      <c r="N149">
        <v>3</v>
      </c>
      <c r="O149">
        <v>0.6</v>
      </c>
      <c r="P149" t="s">
        <v>124</v>
      </c>
      <c r="Q149" t="s">
        <v>86</v>
      </c>
      <c r="R149" t="s">
        <v>66</v>
      </c>
      <c r="S149" t="s">
        <v>66</v>
      </c>
      <c r="T149">
        <v>1</v>
      </c>
      <c r="U149">
        <v>2</v>
      </c>
      <c r="V149">
        <v>2</v>
      </c>
      <c r="W149">
        <v>0.5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2</v>
      </c>
      <c r="AF149">
        <v>2</v>
      </c>
      <c r="AG149">
        <v>0.5</v>
      </c>
      <c r="AH149">
        <v>5</v>
      </c>
      <c r="AI149">
        <v>2</v>
      </c>
      <c r="AJ149">
        <v>12</v>
      </c>
      <c r="AK149">
        <v>3</v>
      </c>
      <c r="AL149">
        <v>45</v>
      </c>
      <c r="AM149">
        <v>1</v>
      </c>
      <c r="AN149" t="s">
        <v>3883</v>
      </c>
      <c r="AO149" t="s">
        <v>3884</v>
      </c>
      <c r="AP149">
        <v>2.3450000000000002</v>
      </c>
      <c r="AQ149" t="s">
        <v>239</v>
      </c>
      <c r="AR149">
        <v>57</v>
      </c>
      <c r="AS149">
        <v>4</v>
      </c>
      <c r="AT149">
        <v>2.768E-2</v>
      </c>
      <c r="AU149">
        <v>-5.6299999999999996E-3</v>
      </c>
      <c r="AV149">
        <v>0.13097</v>
      </c>
      <c r="AW149">
        <v>-2.801E-2</v>
      </c>
      <c r="AX149">
        <v>1.97E-3</v>
      </c>
      <c r="AY149">
        <v>-2.9999999999999997E-4</v>
      </c>
      <c r="AZ149">
        <v>1.5010000000000001E-2</v>
      </c>
      <c r="BA149">
        <v>1</v>
      </c>
      <c r="BB149" t="s">
        <v>70</v>
      </c>
      <c r="BC149">
        <v>1.347</v>
      </c>
      <c r="BD149">
        <v>1.347</v>
      </c>
      <c r="BE149" t="s">
        <v>139</v>
      </c>
    </row>
    <row r="150" spans="1:57">
      <c r="A150">
        <v>3915</v>
      </c>
      <c r="B150" t="s">
        <v>3888</v>
      </c>
      <c r="D150" t="s">
        <v>60</v>
      </c>
      <c r="E150" t="s">
        <v>3889</v>
      </c>
      <c r="F150" t="s">
        <v>2639</v>
      </c>
      <c r="G150">
        <v>252</v>
      </c>
      <c r="H150" t="s">
        <v>85</v>
      </c>
      <c r="I150">
        <v>4</v>
      </c>
      <c r="J150" t="str">
        <f>HYPERLINK("Gene3915-zp_tree_all.dnd", "Gene3915-tree")</f>
        <v>Gene3915-tree</v>
      </c>
      <c r="K150">
        <v>0</v>
      </c>
      <c r="L150">
        <v>4</v>
      </c>
      <c r="M150">
        <v>0</v>
      </c>
      <c r="N150">
        <v>4</v>
      </c>
      <c r="O150">
        <v>1</v>
      </c>
      <c r="P150" t="s">
        <v>66</v>
      </c>
      <c r="Q150" t="s">
        <v>64</v>
      </c>
      <c r="R150" t="s">
        <v>66</v>
      </c>
      <c r="S150" t="s">
        <v>66</v>
      </c>
      <c r="T150">
        <v>0</v>
      </c>
      <c r="U150">
        <v>0</v>
      </c>
      <c r="V150">
        <v>10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10</v>
      </c>
      <c r="AG150">
        <v>0</v>
      </c>
      <c r="AH150">
        <v>4</v>
      </c>
      <c r="AI150">
        <v>1</v>
      </c>
      <c r="AJ150">
        <v>32</v>
      </c>
      <c r="AK150">
        <v>11</v>
      </c>
      <c r="AL150">
        <v>3</v>
      </c>
      <c r="AM150">
        <v>0</v>
      </c>
      <c r="AN150" t="s">
        <v>3890</v>
      </c>
      <c r="AO150" t="s">
        <v>68</v>
      </c>
      <c r="AP150">
        <v>0.95199999999999996</v>
      </c>
      <c r="AQ150" t="s">
        <v>69</v>
      </c>
      <c r="AR150">
        <v>35</v>
      </c>
      <c r="AS150">
        <v>11</v>
      </c>
      <c r="AT150">
        <v>3.0859999999999999E-2</v>
      </c>
      <c r="AU150">
        <v>-7.28E-3</v>
      </c>
      <c r="AV150">
        <v>0.11421000000000001</v>
      </c>
      <c r="AW150">
        <v>-3.1029999999999999E-2</v>
      </c>
      <c r="AX150">
        <v>9.5200000000000007E-3</v>
      </c>
      <c r="AY150">
        <v>-1.57E-3</v>
      </c>
      <c r="AZ150">
        <v>8.3320000000000005E-2</v>
      </c>
      <c r="BA150">
        <v>1</v>
      </c>
      <c r="BB150" t="s">
        <v>70</v>
      </c>
      <c r="BC150">
        <v>-0.51300000000000001</v>
      </c>
      <c r="BD150">
        <v>-0.72499999999999998</v>
      </c>
      <c r="BE150" t="s">
        <v>139</v>
      </c>
    </row>
    <row r="151" spans="1:57">
      <c r="A151">
        <v>3916</v>
      </c>
      <c r="B151" t="s">
        <v>3891</v>
      </c>
      <c r="D151" t="s">
        <v>60</v>
      </c>
      <c r="E151" t="s">
        <v>3892</v>
      </c>
      <c r="F151" t="s">
        <v>3893</v>
      </c>
      <c r="G151">
        <v>363</v>
      </c>
      <c r="H151" t="s">
        <v>63</v>
      </c>
      <c r="I151">
        <v>5</v>
      </c>
      <c r="J151" t="str">
        <f>HYPERLINK("Gene3916-zp_tree_all.dnd", "Gene3916-tree")</f>
        <v>Gene3916-tree</v>
      </c>
      <c r="K151">
        <v>2</v>
      </c>
      <c r="L151">
        <v>3</v>
      </c>
      <c r="M151">
        <v>2</v>
      </c>
      <c r="N151">
        <v>3</v>
      </c>
      <c r="O151">
        <v>0.6</v>
      </c>
      <c r="P151" t="s">
        <v>124</v>
      </c>
      <c r="Q151" t="s">
        <v>86</v>
      </c>
      <c r="R151" t="s">
        <v>66</v>
      </c>
      <c r="S151" t="s">
        <v>66</v>
      </c>
      <c r="T151">
        <v>0</v>
      </c>
      <c r="U151">
        <v>0</v>
      </c>
      <c r="V151">
        <v>8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0</v>
      </c>
      <c r="AC151">
        <v>0</v>
      </c>
      <c r="AD151">
        <v>0</v>
      </c>
      <c r="AE151">
        <v>0</v>
      </c>
      <c r="AF151">
        <v>5</v>
      </c>
      <c r="AG151">
        <v>0</v>
      </c>
      <c r="AH151">
        <v>5</v>
      </c>
      <c r="AI151">
        <v>2</v>
      </c>
      <c r="AJ151">
        <v>36</v>
      </c>
      <c r="AK151">
        <v>5</v>
      </c>
      <c r="AL151">
        <v>26</v>
      </c>
      <c r="AM151">
        <v>3</v>
      </c>
      <c r="AN151" t="s">
        <v>3894</v>
      </c>
      <c r="AO151" t="s">
        <v>3895</v>
      </c>
      <c r="AP151">
        <v>0.214</v>
      </c>
      <c r="AQ151" t="s">
        <v>69</v>
      </c>
      <c r="AR151">
        <v>62</v>
      </c>
      <c r="AS151">
        <v>8</v>
      </c>
      <c r="AT151">
        <v>2.836E-2</v>
      </c>
      <c r="AU151">
        <v>-3.2699999999999999E-3</v>
      </c>
      <c r="AV151">
        <v>0.11711000000000001</v>
      </c>
      <c r="AW151">
        <v>-1.406E-2</v>
      </c>
      <c r="AX151">
        <v>4.5700000000000003E-3</v>
      </c>
      <c r="AY151">
        <v>-6.9999999999999999E-4</v>
      </c>
      <c r="AZ151">
        <v>3.9039999999999998E-2</v>
      </c>
      <c r="BA151">
        <v>1</v>
      </c>
      <c r="BB151" t="s">
        <v>70</v>
      </c>
      <c r="BC151">
        <v>0.66200000000000003</v>
      </c>
      <c r="BD151">
        <v>0.55500000000000005</v>
      </c>
      <c r="BE151" t="s">
        <v>139</v>
      </c>
    </row>
    <row r="152" spans="1:57">
      <c r="A152">
        <v>3946</v>
      </c>
      <c r="B152" t="s">
        <v>3919</v>
      </c>
      <c r="D152" t="s">
        <v>60</v>
      </c>
      <c r="E152" t="s">
        <v>3920</v>
      </c>
      <c r="F152" t="s">
        <v>74</v>
      </c>
      <c r="G152">
        <v>213</v>
      </c>
      <c r="H152" t="s">
        <v>2653</v>
      </c>
      <c r="I152">
        <v>4</v>
      </c>
      <c r="J152" t="str">
        <f>HYPERLINK("Gene3946-zp_tree_all.dnd", "Gene3946-tree")</f>
        <v>Gene3946-tree</v>
      </c>
      <c r="K152">
        <v>3</v>
      </c>
      <c r="L152">
        <v>1</v>
      </c>
      <c r="M152">
        <v>3</v>
      </c>
      <c r="N152">
        <v>1</v>
      </c>
      <c r="O152">
        <v>0.25</v>
      </c>
      <c r="P152" t="s">
        <v>86</v>
      </c>
      <c r="Q152" t="s">
        <v>65</v>
      </c>
      <c r="R152" t="s">
        <v>66</v>
      </c>
      <c r="S152" t="s">
        <v>66</v>
      </c>
      <c r="T152">
        <v>0</v>
      </c>
      <c r="U152">
        <v>0</v>
      </c>
      <c r="V152">
        <v>2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3</v>
      </c>
      <c r="AI152">
        <v>1</v>
      </c>
      <c r="AJ152">
        <v>15</v>
      </c>
      <c r="AK152">
        <v>1</v>
      </c>
      <c r="AL152">
        <v>9</v>
      </c>
      <c r="AM152">
        <v>1</v>
      </c>
      <c r="AN152" t="s">
        <v>3921</v>
      </c>
      <c r="AO152" t="s">
        <v>3922</v>
      </c>
      <c r="AP152">
        <v>0.441</v>
      </c>
      <c r="AQ152" t="s">
        <v>69</v>
      </c>
      <c r="AR152">
        <v>24</v>
      </c>
      <c r="AS152">
        <v>2</v>
      </c>
      <c r="AT152">
        <v>2.2270000000000002E-2</v>
      </c>
      <c r="AU152">
        <v>-3.98E-3</v>
      </c>
      <c r="AV152">
        <v>9.6140000000000003E-2</v>
      </c>
      <c r="AW152">
        <v>-1.7579999999999998E-2</v>
      </c>
      <c r="AX152">
        <v>2.3900000000000002E-3</v>
      </c>
      <c r="AY152">
        <v>-5.6999999999999998E-4</v>
      </c>
      <c r="AZ152">
        <v>2.4809999999999999E-2</v>
      </c>
      <c r="BA152">
        <v>1</v>
      </c>
      <c r="BB152" t="s">
        <v>70</v>
      </c>
      <c r="BC152">
        <v>0.85099999999999998</v>
      </c>
      <c r="BD152">
        <v>-1.0999999999999999E-2</v>
      </c>
      <c r="BE152" t="s">
        <v>139</v>
      </c>
    </row>
    <row r="153" spans="1:57">
      <c r="A153">
        <v>3957</v>
      </c>
      <c r="B153" t="s">
        <v>3923</v>
      </c>
      <c r="D153" t="s">
        <v>60</v>
      </c>
      <c r="E153" t="s">
        <v>3924</v>
      </c>
      <c r="F153" t="s">
        <v>74</v>
      </c>
      <c r="G153">
        <v>378</v>
      </c>
      <c r="H153" t="s">
        <v>63</v>
      </c>
      <c r="I153">
        <v>5</v>
      </c>
      <c r="J153" t="str">
        <f>HYPERLINK("Gene3957-zp_tree_all.dnd", "Gene3957-tree")</f>
        <v>Gene3957-tree</v>
      </c>
      <c r="K153">
        <v>0</v>
      </c>
      <c r="L153">
        <v>5</v>
      </c>
      <c r="M153">
        <v>0</v>
      </c>
      <c r="N153">
        <v>5</v>
      </c>
      <c r="O153">
        <v>1</v>
      </c>
      <c r="P153" t="s">
        <v>66</v>
      </c>
      <c r="Q153" t="s">
        <v>96</v>
      </c>
      <c r="R153" t="s">
        <v>66</v>
      </c>
      <c r="S153" t="s">
        <v>66</v>
      </c>
      <c r="T153">
        <v>0</v>
      </c>
      <c r="U153">
        <v>0</v>
      </c>
      <c r="V153">
        <v>13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13</v>
      </c>
      <c r="AG153">
        <v>0</v>
      </c>
      <c r="AH153">
        <v>5</v>
      </c>
      <c r="AI153">
        <v>2</v>
      </c>
      <c r="AJ153">
        <v>37</v>
      </c>
      <c r="AK153">
        <v>9</v>
      </c>
      <c r="AL153">
        <v>40</v>
      </c>
      <c r="AM153">
        <v>4</v>
      </c>
      <c r="AN153" t="s">
        <v>3925</v>
      </c>
      <c r="AO153" t="s">
        <v>3926</v>
      </c>
      <c r="AP153">
        <v>2.7679999999999998</v>
      </c>
      <c r="AQ153" t="s">
        <v>239</v>
      </c>
      <c r="AR153">
        <v>77</v>
      </c>
      <c r="AS153">
        <v>13</v>
      </c>
      <c r="AT153">
        <v>3.8010000000000002E-2</v>
      </c>
      <c r="AU153">
        <v>-5.1999999999999998E-3</v>
      </c>
      <c r="AV153">
        <v>0.16721</v>
      </c>
      <c r="AW153">
        <v>-2.6159999999999999E-2</v>
      </c>
      <c r="AX153">
        <v>6.8500000000000002E-3</v>
      </c>
      <c r="AY153">
        <v>-5.8E-4</v>
      </c>
      <c r="AZ153">
        <v>4.0969999999999999E-2</v>
      </c>
      <c r="BA153">
        <v>1</v>
      </c>
      <c r="BB153" t="s">
        <v>70</v>
      </c>
      <c r="BC153">
        <v>0.621</v>
      </c>
      <c r="BD153">
        <v>0.373</v>
      </c>
      <c r="BE153" t="s">
        <v>139</v>
      </c>
    </row>
    <row r="154" spans="1:57">
      <c r="A154">
        <v>3995</v>
      </c>
      <c r="B154" t="s">
        <v>3952</v>
      </c>
      <c r="D154" t="s">
        <v>60</v>
      </c>
      <c r="E154" t="s">
        <v>3953</v>
      </c>
      <c r="F154" t="s">
        <v>3954</v>
      </c>
      <c r="G154">
        <v>151</v>
      </c>
      <c r="H154" t="s">
        <v>85</v>
      </c>
      <c r="I154">
        <v>4</v>
      </c>
      <c r="J154" t="str">
        <f>HYPERLINK("Gene3995-zp_tree_all.dnd", "Gene3995-tree")</f>
        <v>Gene3995-tree</v>
      </c>
      <c r="K154">
        <v>4</v>
      </c>
      <c r="L154">
        <v>0</v>
      </c>
      <c r="M154">
        <v>4</v>
      </c>
      <c r="N154">
        <v>0</v>
      </c>
      <c r="O154">
        <v>0</v>
      </c>
      <c r="P154" t="s">
        <v>64</v>
      </c>
      <c r="Q154" t="s">
        <v>66</v>
      </c>
      <c r="R154" t="s">
        <v>66</v>
      </c>
      <c r="S154" t="s">
        <v>66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4</v>
      </c>
      <c r="AI154">
        <v>1</v>
      </c>
      <c r="AJ154">
        <v>22</v>
      </c>
      <c r="AK154">
        <v>0</v>
      </c>
      <c r="AL154">
        <v>4</v>
      </c>
      <c r="AM154">
        <v>0</v>
      </c>
      <c r="AN154" t="s">
        <v>68</v>
      </c>
      <c r="AO154" t="s">
        <v>68</v>
      </c>
      <c r="AP154">
        <v>0</v>
      </c>
      <c r="AQ154" t="s">
        <v>69</v>
      </c>
      <c r="AR154">
        <v>26</v>
      </c>
      <c r="AS154">
        <v>0</v>
      </c>
      <c r="AT154">
        <v>2.9430000000000001E-2</v>
      </c>
      <c r="AU154">
        <v>-4.6100000000000004E-3</v>
      </c>
      <c r="AV154">
        <v>0.13125999999999999</v>
      </c>
      <c r="AW154">
        <v>-2.197E-2</v>
      </c>
      <c r="AX154">
        <v>0</v>
      </c>
      <c r="AY154">
        <v>0</v>
      </c>
      <c r="AZ154">
        <v>0</v>
      </c>
      <c r="BA154">
        <v>1</v>
      </c>
      <c r="BB154" t="s">
        <v>70</v>
      </c>
      <c r="BC154">
        <v>-0.22900000000000001</v>
      </c>
      <c r="BD154">
        <v>-0.22900000000000001</v>
      </c>
      <c r="BE154" t="s">
        <v>139</v>
      </c>
    </row>
    <row r="155" spans="1:57">
      <c r="A155">
        <v>3997</v>
      </c>
      <c r="B155" t="s">
        <v>3955</v>
      </c>
      <c r="D155" t="s">
        <v>60</v>
      </c>
      <c r="E155" t="s">
        <v>3956</v>
      </c>
      <c r="F155" t="s">
        <v>3957</v>
      </c>
      <c r="G155">
        <v>552</v>
      </c>
      <c r="H155" t="s">
        <v>85</v>
      </c>
      <c r="I155">
        <v>4</v>
      </c>
      <c r="J155" t="str">
        <f>HYPERLINK("Gene3997-zp_tree_all.dnd", "Gene3997-tree")</f>
        <v>Gene3997-tree</v>
      </c>
      <c r="K155">
        <v>2</v>
      </c>
      <c r="L155">
        <v>2</v>
      </c>
      <c r="M155">
        <v>2</v>
      </c>
      <c r="N155">
        <v>2</v>
      </c>
      <c r="O155">
        <v>0.5</v>
      </c>
      <c r="P155" t="s">
        <v>124</v>
      </c>
      <c r="Q155" t="s">
        <v>124</v>
      </c>
      <c r="R155" t="s">
        <v>66</v>
      </c>
      <c r="S155" t="s">
        <v>66</v>
      </c>
      <c r="T155">
        <v>0</v>
      </c>
      <c r="U155">
        <v>0</v>
      </c>
      <c r="V155">
        <v>9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8</v>
      </c>
      <c r="AG155">
        <v>0</v>
      </c>
      <c r="AH155">
        <v>4</v>
      </c>
      <c r="AI155">
        <v>1</v>
      </c>
      <c r="AJ155">
        <v>81</v>
      </c>
      <c r="AK155">
        <v>9</v>
      </c>
      <c r="AL155">
        <v>9</v>
      </c>
      <c r="AM155">
        <v>1</v>
      </c>
      <c r="AN155" t="s">
        <v>3958</v>
      </c>
      <c r="AO155" t="s">
        <v>3959</v>
      </c>
      <c r="AP155">
        <v>4.5999999999999999E-2</v>
      </c>
      <c r="AQ155" t="s">
        <v>69</v>
      </c>
      <c r="AR155">
        <v>90</v>
      </c>
      <c r="AS155">
        <v>10</v>
      </c>
      <c r="AT155">
        <v>3.0800000000000001E-2</v>
      </c>
      <c r="AU155">
        <v>-7.1500000000000001E-3</v>
      </c>
      <c r="AV155">
        <v>0.13238</v>
      </c>
      <c r="AW155">
        <v>-3.202E-2</v>
      </c>
      <c r="AX155">
        <v>4.2199999999999998E-3</v>
      </c>
      <c r="AY155">
        <v>-1.1199999999999999E-3</v>
      </c>
      <c r="AZ155">
        <v>3.1879999999999999E-2</v>
      </c>
      <c r="BA155">
        <v>1</v>
      </c>
      <c r="BB155" t="s">
        <v>70</v>
      </c>
      <c r="BC155">
        <v>-0.48</v>
      </c>
      <c r="BD155">
        <v>-0.67600000000000005</v>
      </c>
      <c r="BE155" t="s">
        <v>139</v>
      </c>
    </row>
    <row r="156" spans="1:57">
      <c r="A156">
        <v>4020</v>
      </c>
      <c r="B156" t="s">
        <v>3976</v>
      </c>
      <c r="D156" t="s">
        <v>60</v>
      </c>
      <c r="E156" t="s">
        <v>3977</v>
      </c>
      <c r="F156" t="s">
        <v>74</v>
      </c>
      <c r="G156">
        <v>117</v>
      </c>
      <c r="H156" t="s">
        <v>63</v>
      </c>
      <c r="I156">
        <v>5</v>
      </c>
      <c r="J156" t="str">
        <f>HYPERLINK("Gene4020-zp_tree_all.dnd", "Gene4020-tree")</f>
        <v>Gene4020-tree</v>
      </c>
      <c r="K156">
        <v>1</v>
      </c>
      <c r="L156">
        <v>4</v>
      </c>
      <c r="M156">
        <v>1</v>
      </c>
      <c r="N156">
        <v>4</v>
      </c>
      <c r="O156">
        <v>0.8</v>
      </c>
      <c r="P156" t="s">
        <v>65</v>
      </c>
      <c r="Q156" t="s">
        <v>64</v>
      </c>
      <c r="R156" t="s">
        <v>66</v>
      </c>
      <c r="S156" t="s">
        <v>66</v>
      </c>
      <c r="T156">
        <v>0</v>
      </c>
      <c r="U156">
        <v>0</v>
      </c>
      <c r="V156">
        <v>5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5</v>
      </c>
      <c r="AG156">
        <v>0</v>
      </c>
      <c r="AH156">
        <v>5</v>
      </c>
      <c r="AI156">
        <v>2</v>
      </c>
      <c r="AJ156">
        <v>8</v>
      </c>
      <c r="AK156">
        <v>4</v>
      </c>
      <c r="AL156">
        <v>11</v>
      </c>
      <c r="AM156">
        <v>1</v>
      </c>
      <c r="AN156" t="s">
        <v>3978</v>
      </c>
      <c r="AO156" t="s">
        <v>3979</v>
      </c>
      <c r="AP156">
        <v>2.3239999999999998</v>
      </c>
      <c r="AQ156" t="s">
        <v>239</v>
      </c>
      <c r="AR156">
        <v>19</v>
      </c>
      <c r="AS156">
        <v>5</v>
      </c>
      <c r="AT156">
        <v>3.4189999999999998E-2</v>
      </c>
      <c r="AU156">
        <v>-4.9199999999999999E-3</v>
      </c>
      <c r="AV156">
        <v>0.17446</v>
      </c>
      <c r="AW156">
        <v>-3.1570000000000001E-2</v>
      </c>
      <c r="AX156">
        <v>7.7400000000000004E-3</v>
      </c>
      <c r="AY156">
        <v>-6.7000000000000002E-4</v>
      </c>
      <c r="AZ156">
        <v>4.437E-2</v>
      </c>
      <c r="BA156">
        <v>1</v>
      </c>
      <c r="BB156" t="s">
        <v>70</v>
      </c>
      <c r="BC156">
        <v>0.31</v>
      </c>
      <c r="BD156">
        <v>0.31</v>
      </c>
      <c r="BE156" t="s">
        <v>139</v>
      </c>
    </row>
    <row r="157" spans="1:57">
      <c r="A157">
        <v>4022</v>
      </c>
      <c r="B157" t="s">
        <v>3983</v>
      </c>
      <c r="D157" t="s">
        <v>60</v>
      </c>
      <c r="E157" t="s">
        <v>3984</v>
      </c>
      <c r="F157" t="s">
        <v>3985</v>
      </c>
      <c r="G157">
        <v>321</v>
      </c>
      <c r="H157" t="s">
        <v>85</v>
      </c>
      <c r="I157">
        <v>4</v>
      </c>
      <c r="J157" t="str">
        <f>HYPERLINK("Gene4022-zp_tree_all.dnd", "Gene4022-tree")</f>
        <v>Gene4022-tree</v>
      </c>
      <c r="K157">
        <v>1</v>
      </c>
      <c r="L157">
        <v>3</v>
      </c>
      <c r="M157">
        <v>1</v>
      </c>
      <c r="N157">
        <v>3</v>
      </c>
      <c r="O157">
        <v>0.75</v>
      </c>
      <c r="P157" t="s">
        <v>65</v>
      </c>
      <c r="Q157" t="s">
        <v>86</v>
      </c>
      <c r="R157" t="s">
        <v>66</v>
      </c>
      <c r="S157" t="s">
        <v>66</v>
      </c>
      <c r="T157">
        <v>0</v>
      </c>
      <c r="U157">
        <v>0</v>
      </c>
      <c r="V157">
        <v>9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9</v>
      </c>
      <c r="AG157">
        <v>0</v>
      </c>
      <c r="AH157">
        <v>3</v>
      </c>
      <c r="AI157">
        <v>1</v>
      </c>
      <c r="AJ157">
        <v>32</v>
      </c>
      <c r="AK157">
        <v>9</v>
      </c>
      <c r="AL157">
        <v>5</v>
      </c>
      <c r="AM157">
        <v>0</v>
      </c>
      <c r="AN157" t="s">
        <v>3986</v>
      </c>
      <c r="AO157" t="s">
        <v>68</v>
      </c>
      <c r="AP157">
        <v>1.075</v>
      </c>
      <c r="AQ157" t="s">
        <v>69</v>
      </c>
      <c r="AR157">
        <v>37</v>
      </c>
      <c r="AS157">
        <v>9</v>
      </c>
      <c r="AT157">
        <v>2.4830000000000001E-2</v>
      </c>
      <c r="AU157">
        <v>-6.3099999999999996E-3</v>
      </c>
      <c r="AV157">
        <v>0.10219</v>
      </c>
      <c r="AW157">
        <v>-2.7539999999999999E-2</v>
      </c>
      <c r="AX157">
        <v>6.0200000000000002E-3</v>
      </c>
      <c r="AY157">
        <v>-1.4400000000000001E-3</v>
      </c>
      <c r="AZ157">
        <v>5.8889999999999998E-2</v>
      </c>
      <c r="BA157">
        <v>1</v>
      </c>
      <c r="BB157" t="s">
        <v>70</v>
      </c>
      <c r="BC157">
        <v>-0.52100000000000002</v>
      </c>
      <c r="BD157">
        <v>-0.52100000000000002</v>
      </c>
      <c r="BE157" t="s">
        <v>139</v>
      </c>
    </row>
    <row r="158" spans="1:57">
      <c r="A158">
        <v>4038</v>
      </c>
      <c r="B158" t="s">
        <v>4027</v>
      </c>
      <c r="D158" t="s">
        <v>60</v>
      </c>
      <c r="E158" t="s">
        <v>4028</v>
      </c>
      <c r="F158" t="s">
        <v>4029</v>
      </c>
      <c r="G158">
        <v>251</v>
      </c>
      <c r="H158" t="s">
        <v>85</v>
      </c>
      <c r="I158">
        <v>4</v>
      </c>
      <c r="J158" t="str">
        <f>HYPERLINK("Gene4038-zp_tree_all.dnd", "Gene4038-tree")</f>
        <v>Gene4038-tree</v>
      </c>
      <c r="K158">
        <v>3</v>
      </c>
      <c r="L158">
        <v>1</v>
      </c>
      <c r="M158">
        <v>3</v>
      </c>
      <c r="N158">
        <v>1</v>
      </c>
      <c r="O158">
        <v>0.25</v>
      </c>
      <c r="P158" t="s">
        <v>86</v>
      </c>
      <c r="Q158" t="s">
        <v>65</v>
      </c>
      <c r="R158" t="s">
        <v>66</v>
      </c>
      <c r="S158" t="s">
        <v>66</v>
      </c>
      <c r="T158">
        <v>0</v>
      </c>
      <c r="U158">
        <v>0</v>
      </c>
      <c r="V158">
        <v>3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3</v>
      </c>
      <c r="AG158">
        <v>0</v>
      </c>
      <c r="AH158">
        <v>4</v>
      </c>
      <c r="AI158">
        <v>1</v>
      </c>
      <c r="AJ158">
        <v>36</v>
      </c>
      <c r="AK158">
        <v>3</v>
      </c>
      <c r="AL158">
        <v>2</v>
      </c>
      <c r="AM158">
        <v>0</v>
      </c>
      <c r="AN158" t="s">
        <v>4030</v>
      </c>
      <c r="AO158" t="s">
        <v>68</v>
      </c>
      <c r="AP158">
        <v>0.434</v>
      </c>
      <c r="AQ158" t="s">
        <v>69</v>
      </c>
      <c r="AR158">
        <v>38</v>
      </c>
      <c r="AS158">
        <v>3</v>
      </c>
      <c r="AT158">
        <v>2.7220000000000001E-2</v>
      </c>
      <c r="AU158">
        <v>-7.9100000000000004E-3</v>
      </c>
      <c r="AV158">
        <v>0.12589</v>
      </c>
      <c r="AW158">
        <v>-3.6900000000000002E-2</v>
      </c>
      <c r="AX158">
        <v>2.5899999999999999E-3</v>
      </c>
      <c r="AY158">
        <v>-1.06E-3</v>
      </c>
      <c r="AZ158">
        <v>2.0539999999999999E-2</v>
      </c>
      <c r="BA158">
        <v>1</v>
      </c>
      <c r="BB158" t="s">
        <v>70</v>
      </c>
      <c r="BC158">
        <v>-0.627</v>
      </c>
      <c r="BD158">
        <v>-0.627</v>
      </c>
      <c r="BE158" t="s">
        <v>139</v>
      </c>
    </row>
    <row r="159" spans="1:57">
      <c r="A159">
        <v>4039</v>
      </c>
      <c r="B159" t="s">
        <v>4031</v>
      </c>
      <c r="D159" t="s">
        <v>60</v>
      </c>
      <c r="E159" t="s">
        <v>4032</v>
      </c>
      <c r="F159" t="s">
        <v>4033</v>
      </c>
      <c r="G159">
        <v>310</v>
      </c>
      <c r="H159" t="s">
        <v>85</v>
      </c>
      <c r="I159">
        <v>4</v>
      </c>
      <c r="J159" t="str">
        <f>HYPERLINK("Gene4039-zp_tree_all.dnd", "Gene4039-tree")</f>
        <v>Gene4039-tree</v>
      </c>
      <c r="K159">
        <v>2</v>
      </c>
      <c r="L159">
        <v>2</v>
      </c>
      <c r="M159">
        <v>2</v>
      </c>
      <c r="N159">
        <v>2</v>
      </c>
      <c r="O159">
        <v>0.5</v>
      </c>
      <c r="P159" t="s">
        <v>124</v>
      </c>
      <c r="Q159" t="s">
        <v>124</v>
      </c>
      <c r="R159" t="s">
        <v>66</v>
      </c>
      <c r="S159" t="s">
        <v>66</v>
      </c>
      <c r="T159">
        <v>0</v>
      </c>
      <c r="U159">
        <v>0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1</v>
      </c>
      <c r="AJ159">
        <v>48</v>
      </c>
      <c r="AK159">
        <v>4</v>
      </c>
      <c r="AL159">
        <v>2</v>
      </c>
      <c r="AM159">
        <v>0</v>
      </c>
      <c r="AN159" t="s">
        <v>4034</v>
      </c>
      <c r="AO159" t="s">
        <v>68</v>
      </c>
      <c r="AP159">
        <v>0.76100000000000001</v>
      </c>
      <c r="AQ159" t="s">
        <v>69</v>
      </c>
      <c r="AR159">
        <v>50</v>
      </c>
      <c r="AS159">
        <v>4</v>
      </c>
      <c r="AT159">
        <v>2.7689999999999999E-2</v>
      </c>
      <c r="AU159">
        <v>-7.0499999999999998E-3</v>
      </c>
      <c r="AV159">
        <v>0.12945000000000001</v>
      </c>
      <c r="AW159">
        <v>-3.4479999999999997E-2</v>
      </c>
      <c r="AX159">
        <v>2.7799999999999999E-3</v>
      </c>
      <c r="AY159">
        <v>-8.0000000000000004E-4</v>
      </c>
      <c r="AZ159">
        <v>2.1489999999999999E-2</v>
      </c>
      <c r="BA159">
        <v>1</v>
      </c>
      <c r="BB159" t="s">
        <v>70</v>
      </c>
      <c r="BC159">
        <v>-0.20499999999999999</v>
      </c>
      <c r="BD159">
        <v>-0.80100000000000005</v>
      </c>
      <c r="BE159" t="s">
        <v>139</v>
      </c>
    </row>
    <row r="160" spans="1:57">
      <c r="A160">
        <v>4071</v>
      </c>
      <c r="B160" t="s">
        <v>4045</v>
      </c>
      <c r="D160" t="s">
        <v>60</v>
      </c>
      <c r="E160" t="s">
        <v>4046</v>
      </c>
      <c r="F160" t="s">
        <v>4047</v>
      </c>
      <c r="G160">
        <v>187</v>
      </c>
      <c r="H160" t="s">
        <v>63</v>
      </c>
      <c r="I160">
        <v>5</v>
      </c>
      <c r="J160" t="str">
        <f>HYPERLINK("Gene4071-zp_tree_all.dnd", "Gene4071-tree")</f>
        <v>Gene4071-tree</v>
      </c>
      <c r="K160">
        <v>3</v>
      </c>
      <c r="L160">
        <v>2</v>
      </c>
      <c r="M160">
        <v>3</v>
      </c>
      <c r="N160">
        <v>2</v>
      </c>
      <c r="O160">
        <v>0.4</v>
      </c>
      <c r="P160" t="s">
        <v>86</v>
      </c>
      <c r="Q160" t="s">
        <v>124</v>
      </c>
      <c r="R160" t="s">
        <v>66</v>
      </c>
      <c r="S160" t="s">
        <v>66</v>
      </c>
      <c r="T160">
        <v>0</v>
      </c>
      <c r="U160">
        <v>0</v>
      </c>
      <c r="V160">
        <v>6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6</v>
      </c>
      <c r="AG160">
        <v>0</v>
      </c>
      <c r="AH160">
        <v>5</v>
      </c>
      <c r="AI160">
        <v>2</v>
      </c>
      <c r="AJ160">
        <v>11</v>
      </c>
      <c r="AK160">
        <v>2</v>
      </c>
      <c r="AL160">
        <v>8</v>
      </c>
      <c r="AM160">
        <v>4</v>
      </c>
      <c r="AN160" t="s">
        <v>4048</v>
      </c>
      <c r="AO160" t="s">
        <v>4049</v>
      </c>
      <c r="AP160">
        <v>0.54500000000000004</v>
      </c>
      <c r="AQ160" t="s">
        <v>69</v>
      </c>
      <c r="AR160">
        <v>19</v>
      </c>
      <c r="AS160">
        <v>6</v>
      </c>
      <c r="AT160">
        <v>2.1389999999999999E-2</v>
      </c>
      <c r="AU160">
        <v>-3.63E-3</v>
      </c>
      <c r="AV160">
        <v>7.4569999999999997E-2</v>
      </c>
      <c r="AW160">
        <v>-1.18E-2</v>
      </c>
      <c r="AX160">
        <v>7.4000000000000003E-3</v>
      </c>
      <c r="AY160">
        <v>-1.66E-3</v>
      </c>
      <c r="AZ160">
        <v>9.9260000000000001E-2</v>
      </c>
      <c r="BA160">
        <v>1</v>
      </c>
      <c r="BB160" t="s">
        <v>70</v>
      </c>
      <c r="BC160">
        <v>0.64600000000000002</v>
      </c>
      <c r="BD160">
        <v>0.377</v>
      </c>
      <c r="BE160" t="s">
        <v>139</v>
      </c>
    </row>
    <row r="161" spans="1:57">
      <c r="A161">
        <v>4072</v>
      </c>
      <c r="B161" t="s">
        <v>4050</v>
      </c>
      <c r="D161" t="s">
        <v>60</v>
      </c>
      <c r="E161" t="s">
        <v>4051</v>
      </c>
      <c r="F161" t="s">
        <v>4052</v>
      </c>
      <c r="G161">
        <v>509</v>
      </c>
      <c r="H161" t="s">
        <v>63</v>
      </c>
      <c r="I161">
        <v>5</v>
      </c>
      <c r="J161" t="str">
        <f>HYPERLINK("Gene4072-zp_tree_all.dnd", "Gene4072-tree")</f>
        <v>Gene4072-tree</v>
      </c>
      <c r="K161">
        <v>3</v>
      </c>
      <c r="L161">
        <v>2</v>
      </c>
      <c r="M161">
        <v>3</v>
      </c>
      <c r="N161">
        <v>2</v>
      </c>
      <c r="O161">
        <v>0.4</v>
      </c>
      <c r="P161" t="s">
        <v>86</v>
      </c>
      <c r="Q161" t="s">
        <v>124</v>
      </c>
      <c r="R161" t="s">
        <v>66</v>
      </c>
      <c r="S161" t="s">
        <v>66</v>
      </c>
      <c r="T161">
        <v>0</v>
      </c>
      <c r="U161">
        <v>0</v>
      </c>
      <c r="V161">
        <v>12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12</v>
      </c>
      <c r="AG161">
        <v>0</v>
      </c>
      <c r="AH161">
        <v>5</v>
      </c>
      <c r="AI161">
        <v>2</v>
      </c>
      <c r="AJ161">
        <v>56</v>
      </c>
      <c r="AK161">
        <v>9</v>
      </c>
      <c r="AL161">
        <v>47</v>
      </c>
      <c r="AM161">
        <v>4</v>
      </c>
      <c r="AN161" t="s">
        <v>4053</v>
      </c>
      <c r="AO161" t="s">
        <v>4054</v>
      </c>
      <c r="AP161">
        <v>0.51800000000000002</v>
      </c>
      <c r="AQ161" t="s">
        <v>69</v>
      </c>
      <c r="AR161">
        <v>103</v>
      </c>
      <c r="AS161">
        <v>13</v>
      </c>
      <c r="AT161">
        <v>3.406E-2</v>
      </c>
      <c r="AU161">
        <v>-4.8599999999999997E-3</v>
      </c>
      <c r="AV161">
        <v>0.14457999999999999</v>
      </c>
      <c r="AW161">
        <v>-2.085E-2</v>
      </c>
      <c r="AX161">
        <v>5.1999999999999998E-3</v>
      </c>
      <c r="AY161">
        <v>-1.08E-3</v>
      </c>
      <c r="AZ161">
        <v>3.5970000000000002E-2</v>
      </c>
      <c r="BA161">
        <v>1</v>
      </c>
      <c r="BB161" t="s">
        <v>70</v>
      </c>
      <c r="BC161">
        <v>0.57099999999999995</v>
      </c>
      <c r="BD161">
        <v>-1.2999999999999999E-2</v>
      </c>
      <c r="BE161" t="s">
        <v>139</v>
      </c>
    </row>
    <row r="162" spans="1:57">
      <c r="A162">
        <v>4121</v>
      </c>
      <c r="B162" t="s">
        <v>4102</v>
      </c>
      <c r="D162" t="s">
        <v>60</v>
      </c>
      <c r="E162" t="s">
        <v>4103</v>
      </c>
      <c r="F162" t="s">
        <v>4104</v>
      </c>
      <c r="G162">
        <v>309</v>
      </c>
      <c r="H162" t="s">
        <v>85</v>
      </c>
      <c r="I162">
        <v>4</v>
      </c>
      <c r="J162" t="str">
        <f>HYPERLINK("Gene4121-zp_tree_all.dnd", "Gene4121-tree")</f>
        <v>Gene4121-tree</v>
      </c>
      <c r="K162">
        <v>3</v>
      </c>
      <c r="L162">
        <v>1</v>
      </c>
      <c r="M162">
        <v>3</v>
      </c>
      <c r="N162">
        <v>1</v>
      </c>
      <c r="O162">
        <v>0.25</v>
      </c>
      <c r="P162" t="s">
        <v>86</v>
      </c>
      <c r="Q162" t="s">
        <v>65</v>
      </c>
      <c r="R162" t="s">
        <v>66</v>
      </c>
      <c r="S162" t="s">
        <v>66</v>
      </c>
      <c r="T162">
        <v>0</v>
      </c>
      <c r="U162">
        <v>0</v>
      </c>
      <c r="V162">
        <v>3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3</v>
      </c>
      <c r="AG162">
        <v>0</v>
      </c>
      <c r="AH162">
        <v>4</v>
      </c>
      <c r="AI162">
        <v>1</v>
      </c>
      <c r="AJ162">
        <v>46</v>
      </c>
      <c r="AK162">
        <v>3</v>
      </c>
      <c r="AL162">
        <v>1</v>
      </c>
      <c r="AM162">
        <v>0</v>
      </c>
      <c r="AN162" t="s">
        <v>4105</v>
      </c>
      <c r="AO162" t="s">
        <v>68</v>
      </c>
      <c r="AP162">
        <v>0.38900000000000001</v>
      </c>
      <c r="AQ162" t="s">
        <v>69</v>
      </c>
      <c r="AR162">
        <v>47</v>
      </c>
      <c r="AS162">
        <v>3</v>
      </c>
      <c r="AT162">
        <v>2.7150000000000001E-2</v>
      </c>
      <c r="AU162">
        <v>-9.0399999999999994E-3</v>
      </c>
      <c r="AV162">
        <v>0.12970999999999999</v>
      </c>
      <c r="AW162">
        <v>-4.3779999999999999E-2</v>
      </c>
      <c r="AX162">
        <v>2.0999999999999999E-3</v>
      </c>
      <c r="AY162">
        <v>-8.5999999999999998E-4</v>
      </c>
      <c r="AZ162">
        <v>1.618E-2</v>
      </c>
      <c r="BA162">
        <v>1</v>
      </c>
      <c r="BB162" t="s">
        <v>70</v>
      </c>
      <c r="BC162">
        <v>-0.80400000000000005</v>
      </c>
      <c r="BD162">
        <v>-0.80400000000000005</v>
      </c>
      <c r="BE162" t="s">
        <v>139</v>
      </c>
    </row>
    <row r="163" spans="1:57">
      <c r="A163">
        <v>1484</v>
      </c>
      <c r="B163" t="s">
        <v>4156</v>
      </c>
      <c r="D163" t="s">
        <v>66</v>
      </c>
      <c r="E163" t="s">
        <v>4157</v>
      </c>
      <c r="F163" t="s">
        <v>4158</v>
      </c>
      <c r="G163">
        <v>184</v>
      </c>
      <c r="H163" t="s">
        <v>63</v>
      </c>
      <c r="I163">
        <v>5</v>
      </c>
      <c r="J163" t="str">
        <f>HYPERLINK("Gene1484-zp_tree_all.dnd", "Gene1484-tree")</f>
        <v>Gene1484-tree</v>
      </c>
      <c r="K163">
        <v>2</v>
      </c>
      <c r="L163">
        <v>3</v>
      </c>
      <c r="M163">
        <v>2</v>
      </c>
      <c r="N163">
        <v>3</v>
      </c>
      <c r="O163">
        <v>0.6</v>
      </c>
      <c r="P163" t="s">
        <v>124</v>
      </c>
      <c r="Q163" t="s">
        <v>86</v>
      </c>
      <c r="R163" t="s">
        <v>66</v>
      </c>
      <c r="S163" t="s">
        <v>66</v>
      </c>
      <c r="T163">
        <v>0</v>
      </c>
      <c r="U163">
        <v>0</v>
      </c>
      <c r="V163">
        <v>5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5</v>
      </c>
      <c r="AG163">
        <v>0</v>
      </c>
      <c r="AH163">
        <v>5</v>
      </c>
      <c r="AI163">
        <v>1</v>
      </c>
      <c r="AJ163">
        <v>12</v>
      </c>
      <c r="AK163">
        <v>5</v>
      </c>
      <c r="AL163">
        <v>18</v>
      </c>
      <c r="AM163">
        <v>0</v>
      </c>
      <c r="AN163" t="s">
        <v>4159</v>
      </c>
      <c r="AO163" t="s">
        <v>68</v>
      </c>
      <c r="AP163">
        <v>1.2270000000000001</v>
      </c>
      <c r="AQ163" t="s">
        <v>69</v>
      </c>
      <c r="AR163">
        <v>30</v>
      </c>
      <c r="AS163">
        <v>5</v>
      </c>
      <c r="AT163">
        <v>3.134E-2</v>
      </c>
      <c r="AU163">
        <v>-5.8300000000000001E-3</v>
      </c>
      <c r="AV163">
        <v>0.13908000000000001</v>
      </c>
      <c r="AW163">
        <v>-2.86E-2</v>
      </c>
      <c r="AX163">
        <v>4.7099999999999998E-3</v>
      </c>
      <c r="AY163">
        <v>-1E-3</v>
      </c>
      <c r="AZ163">
        <v>3.3840000000000002E-2</v>
      </c>
      <c r="BA163">
        <v>1</v>
      </c>
      <c r="BB163" t="s">
        <v>70</v>
      </c>
      <c r="BC163">
        <v>0.69099999999999995</v>
      </c>
      <c r="BD163">
        <v>0.45400000000000001</v>
      </c>
      <c r="BE163" t="s">
        <v>139</v>
      </c>
    </row>
    <row r="164" spans="1:57">
      <c r="A164">
        <v>324</v>
      </c>
      <c r="B164" t="s">
        <v>602</v>
      </c>
      <c r="D164" t="s">
        <v>66</v>
      </c>
      <c r="E164" t="s">
        <v>603</v>
      </c>
      <c r="F164" t="s">
        <v>74</v>
      </c>
      <c r="G164">
        <v>285</v>
      </c>
      <c r="H164" t="s">
        <v>63</v>
      </c>
      <c r="I164">
        <v>5</v>
      </c>
      <c r="J164" t="str">
        <f>HYPERLINK("Gene324-zp_tree_all.dnd", "Gene324-tree")</f>
        <v>Gene324-tree</v>
      </c>
      <c r="K164">
        <v>2</v>
      </c>
      <c r="L164">
        <v>3</v>
      </c>
      <c r="M164">
        <v>2</v>
      </c>
      <c r="N164">
        <v>3</v>
      </c>
      <c r="O164">
        <v>0.6</v>
      </c>
      <c r="P164" t="s">
        <v>124</v>
      </c>
      <c r="Q164" t="s">
        <v>86</v>
      </c>
      <c r="R164" t="s">
        <v>66</v>
      </c>
      <c r="S164" t="s">
        <v>66</v>
      </c>
      <c r="T164">
        <v>1</v>
      </c>
      <c r="U164">
        <v>2</v>
      </c>
      <c r="V164">
        <v>10</v>
      </c>
      <c r="W164">
        <v>0.16667000000000001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</v>
      </c>
      <c r="AD164">
        <v>0</v>
      </c>
      <c r="AE164">
        <v>2</v>
      </c>
      <c r="AF164">
        <v>10</v>
      </c>
      <c r="AG164">
        <v>0.16667000000000001</v>
      </c>
      <c r="AH164">
        <v>5</v>
      </c>
      <c r="AI164">
        <v>2</v>
      </c>
      <c r="AJ164">
        <v>38</v>
      </c>
      <c r="AK164">
        <v>7</v>
      </c>
      <c r="AL164">
        <v>22</v>
      </c>
      <c r="AM164">
        <v>5</v>
      </c>
      <c r="AN164" t="s">
        <v>604</v>
      </c>
      <c r="AO164" t="s">
        <v>605</v>
      </c>
      <c r="AP164">
        <v>0.14199999999999999</v>
      </c>
      <c r="AQ164" t="s">
        <v>69</v>
      </c>
      <c r="AR164">
        <v>60</v>
      </c>
      <c r="AS164">
        <v>12</v>
      </c>
      <c r="AT164">
        <v>3.8150000000000003E-2</v>
      </c>
      <c r="AU164">
        <v>-5.3E-3</v>
      </c>
      <c r="AV164">
        <v>0.16202</v>
      </c>
      <c r="AW164">
        <v>-2.3730000000000001E-2</v>
      </c>
      <c r="AX164">
        <v>8.2100000000000003E-3</v>
      </c>
      <c r="AY164">
        <v>-1.2999999999999999E-3</v>
      </c>
      <c r="AZ164">
        <v>5.0689999999999999E-2</v>
      </c>
      <c r="BA164">
        <v>1</v>
      </c>
      <c r="BB164" t="s">
        <v>70</v>
      </c>
      <c r="BC164">
        <v>0.19600000000000001</v>
      </c>
      <c r="BD164">
        <v>7.5999999999999998E-2</v>
      </c>
      <c r="BE164" t="s">
        <v>139</v>
      </c>
    </row>
    <row r="165" spans="1:57">
      <c r="A165">
        <v>578</v>
      </c>
      <c r="B165" t="s">
        <v>785</v>
      </c>
      <c r="D165" t="s">
        <v>66</v>
      </c>
      <c r="E165" t="s">
        <v>786</v>
      </c>
      <c r="F165" t="s">
        <v>787</v>
      </c>
      <c r="G165">
        <v>164</v>
      </c>
      <c r="H165" t="s">
        <v>63</v>
      </c>
      <c r="I165">
        <v>5</v>
      </c>
      <c r="J165" t="str">
        <f>HYPERLINK("Gene578-zp_tree_all.dnd", "Gene578-tree")</f>
        <v>Gene578-tree</v>
      </c>
      <c r="K165">
        <v>0</v>
      </c>
      <c r="L165">
        <v>5</v>
      </c>
      <c r="M165">
        <v>0</v>
      </c>
      <c r="N165">
        <v>5</v>
      </c>
      <c r="O165">
        <v>1</v>
      </c>
      <c r="P165" t="s">
        <v>66</v>
      </c>
      <c r="Q165" t="s">
        <v>96</v>
      </c>
      <c r="R165" t="s">
        <v>66</v>
      </c>
      <c r="S165" t="s">
        <v>66</v>
      </c>
      <c r="T165">
        <v>1</v>
      </c>
      <c r="U165">
        <v>2</v>
      </c>
      <c r="V165">
        <v>11</v>
      </c>
      <c r="W165">
        <v>0.15384999999999999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2</v>
      </c>
      <c r="AD165">
        <v>0</v>
      </c>
      <c r="AE165">
        <v>2</v>
      </c>
      <c r="AF165">
        <v>11</v>
      </c>
      <c r="AG165">
        <v>0.15384999999999999</v>
      </c>
      <c r="AH165">
        <v>5</v>
      </c>
      <c r="AI165">
        <v>2</v>
      </c>
      <c r="AJ165">
        <v>11</v>
      </c>
      <c r="AK165">
        <v>10</v>
      </c>
      <c r="AL165">
        <v>11</v>
      </c>
      <c r="AM165">
        <v>3</v>
      </c>
      <c r="AN165" t="s">
        <v>788</v>
      </c>
      <c r="AO165" t="s">
        <v>789</v>
      </c>
      <c r="AP165">
        <v>1.0329999999999999</v>
      </c>
      <c r="AQ165" t="s">
        <v>69</v>
      </c>
      <c r="AR165">
        <v>22</v>
      </c>
      <c r="AS165">
        <v>13</v>
      </c>
      <c r="AT165">
        <v>3.2919999999999998E-2</v>
      </c>
      <c r="AU165">
        <v>-4.5300000000000002E-3</v>
      </c>
      <c r="AV165">
        <v>0.10797</v>
      </c>
      <c r="AW165">
        <v>-1.8319999999999999E-2</v>
      </c>
      <c r="AX165">
        <v>1.434E-2</v>
      </c>
      <c r="AY165">
        <v>-1.32E-3</v>
      </c>
      <c r="AZ165">
        <v>0.13281999999999999</v>
      </c>
      <c r="BA165">
        <v>1</v>
      </c>
      <c r="BB165" t="s">
        <v>70</v>
      </c>
      <c r="BC165">
        <v>0.123</v>
      </c>
      <c r="BD165">
        <v>-0.114</v>
      </c>
      <c r="BE165" t="s">
        <v>139</v>
      </c>
    </row>
    <row r="166" spans="1:57">
      <c r="A166">
        <v>763</v>
      </c>
      <c r="B166" t="s">
        <v>943</v>
      </c>
      <c r="D166" t="s">
        <v>66</v>
      </c>
      <c r="E166" t="s">
        <v>944</v>
      </c>
      <c r="F166" t="s">
        <v>945</v>
      </c>
      <c r="G166">
        <v>315</v>
      </c>
      <c r="H166" t="s">
        <v>85</v>
      </c>
      <c r="I166">
        <v>4</v>
      </c>
      <c r="J166" t="str">
        <f>HYPERLINK("Gene763-zp_tree_all.dnd", "Gene763-tree")</f>
        <v>Gene763-tree</v>
      </c>
      <c r="K166">
        <v>0</v>
      </c>
      <c r="L166">
        <v>4</v>
      </c>
      <c r="M166">
        <v>0</v>
      </c>
      <c r="N166">
        <v>4</v>
      </c>
      <c r="O166">
        <v>1</v>
      </c>
      <c r="P166" t="s">
        <v>66</v>
      </c>
      <c r="Q166" t="s">
        <v>64</v>
      </c>
      <c r="R166" t="s">
        <v>66</v>
      </c>
      <c r="S166" t="s">
        <v>66</v>
      </c>
      <c r="T166">
        <v>1</v>
      </c>
      <c r="U166">
        <v>2</v>
      </c>
      <c r="V166">
        <v>11</v>
      </c>
      <c r="W166">
        <v>0.15384999999999999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</v>
      </c>
      <c r="AD166">
        <v>0</v>
      </c>
      <c r="AE166">
        <v>2</v>
      </c>
      <c r="AF166">
        <v>11</v>
      </c>
      <c r="AG166">
        <v>0.15384999999999999</v>
      </c>
      <c r="AH166">
        <v>4</v>
      </c>
      <c r="AI166">
        <v>1</v>
      </c>
      <c r="AJ166">
        <v>35</v>
      </c>
      <c r="AK166">
        <v>11</v>
      </c>
      <c r="AL166">
        <v>2</v>
      </c>
      <c r="AM166">
        <v>2</v>
      </c>
      <c r="AN166" t="s">
        <v>946</v>
      </c>
      <c r="AO166" t="s">
        <v>947</v>
      </c>
      <c r="AP166">
        <v>2.1629999999999998</v>
      </c>
      <c r="AQ166" t="s">
        <v>69</v>
      </c>
      <c r="AR166">
        <v>37</v>
      </c>
      <c r="AS166">
        <v>13</v>
      </c>
      <c r="AT166">
        <v>2.6280000000000001E-2</v>
      </c>
      <c r="AU166">
        <v>-6.3600000000000002E-3</v>
      </c>
      <c r="AV166">
        <v>9.7439999999999999E-2</v>
      </c>
      <c r="AW166">
        <v>-2.5829999999999999E-2</v>
      </c>
      <c r="AX166">
        <v>8.8599999999999998E-3</v>
      </c>
      <c r="AY166">
        <v>-1.8500000000000001E-3</v>
      </c>
      <c r="AZ166">
        <v>9.0929999999999997E-2</v>
      </c>
      <c r="BA166">
        <v>1</v>
      </c>
      <c r="BB166" t="s">
        <v>70</v>
      </c>
      <c r="BC166">
        <v>-0.32600000000000001</v>
      </c>
      <c r="BD166">
        <v>-0.52900000000000003</v>
      </c>
      <c r="BE166" t="s">
        <v>139</v>
      </c>
    </row>
    <row r="167" spans="1:57">
      <c r="A167">
        <v>1039</v>
      </c>
      <c r="B167" t="s">
        <v>1130</v>
      </c>
      <c r="D167" t="s">
        <v>66</v>
      </c>
      <c r="E167" t="s">
        <v>1131</v>
      </c>
      <c r="F167" t="s">
        <v>1132</v>
      </c>
      <c r="G167">
        <v>381</v>
      </c>
      <c r="H167" t="s">
        <v>85</v>
      </c>
      <c r="I167">
        <v>4</v>
      </c>
      <c r="J167" t="str">
        <f>HYPERLINK("Gene1039-zp_tree_all.dnd", "Gene1039-tree")</f>
        <v>Gene1039-tree</v>
      </c>
      <c r="K167">
        <v>0</v>
      </c>
      <c r="L167">
        <v>4</v>
      </c>
      <c r="M167">
        <v>0</v>
      </c>
      <c r="N167">
        <v>4</v>
      </c>
      <c r="O167">
        <v>1</v>
      </c>
      <c r="P167" t="s">
        <v>66</v>
      </c>
      <c r="Q167" t="s">
        <v>64</v>
      </c>
      <c r="R167" t="s">
        <v>66</v>
      </c>
      <c r="S167" t="s">
        <v>66</v>
      </c>
      <c r="T167">
        <v>1</v>
      </c>
      <c r="U167">
        <v>2</v>
      </c>
      <c r="V167">
        <v>11</v>
      </c>
      <c r="W167">
        <v>0.15384999999999999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</v>
      </c>
      <c r="AD167">
        <v>0</v>
      </c>
      <c r="AE167">
        <v>2</v>
      </c>
      <c r="AF167">
        <v>11</v>
      </c>
      <c r="AG167">
        <v>0.15384999999999999</v>
      </c>
      <c r="AH167">
        <v>4</v>
      </c>
      <c r="AI167">
        <v>1</v>
      </c>
      <c r="AJ167">
        <v>49</v>
      </c>
      <c r="AK167">
        <v>11</v>
      </c>
      <c r="AL167">
        <v>9</v>
      </c>
      <c r="AM167">
        <v>2</v>
      </c>
      <c r="AN167" t="s">
        <v>1133</v>
      </c>
      <c r="AO167" t="s">
        <v>1134</v>
      </c>
      <c r="AP167">
        <v>7.0000000000000001E-3</v>
      </c>
      <c r="AQ167" t="s">
        <v>69</v>
      </c>
      <c r="AR167">
        <v>58</v>
      </c>
      <c r="AS167">
        <v>13</v>
      </c>
      <c r="AT167">
        <v>3.1350000000000003E-2</v>
      </c>
      <c r="AU167">
        <v>-3.7599999999999999E-3</v>
      </c>
      <c r="AV167">
        <v>0.11487</v>
      </c>
      <c r="AW167">
        <v>-1.2880000000000001E-2</v>
      </c>
      <c r="AX167">
        <v>7.5500000000000003E-3</v>
      </c>
      <c r="AY167">
        <v>-1.57E-3</v>
      </c>
      <c r="AZ167">
        <v>6.5750000000000003E-2</v>
      </c>
      <c r="BA167">
        <v>1</v>
      </c>
      <c r="BB167" t="s">
        <v>70</v>
      </c>
      <c r="BC167">
        <v>-4.8000000000000001E-2</v>
      </c>
      <c r="BD167">
        <v>-0.193</v>
      </c>
      <c r="BE167" t="s">
        <v>139</v>
      </c>
    </row>
    <row r="168" spans="1:57">
      <c r="A168">
        <v>3266</v>
      </c>
      <c r="B168" t="s">
        <v>3253</v>
      </c>
      <c r="D168" t="s">
        <v>60</v>
      </c>
      <c r="E168" t="s">
        <v>3254</v>
      </c>
      <c r="F168" t="s">
        <v>3255</v>
      </c>
      <c r="G168">
        <v>326</v>
      </c>
      <c r="H168" t="s">
        <v>85</v>
      </c>
      <c r="I168">
        <v>4</v>
      </c>
      <c r="J168" t="str">
        <f>HYPERLINK("Gene3266-zp_tree_all.dnd", "Gene3266-tree")</f>
        <v>Gene3266-tree</v>
      </c>
      <c r="K168">
        <v>1</v>
      </c>
      <c r="L168">
        <v>3</v>
      </c>
      <c r="M168">
        <v>1</v>
      </c>
      <c r="N168">
        <v>3</v>
      </c>
      <c r="O168">
        <v>0.75</v>
      </c>
      <c r="P168" t="s">
        <v>65</v>
      </c>
      <c r="Q168" t="s">
        <v>86</v>
      </c>
      <c r="R168" t="s">
        <v>66</v>
      </c>
      <c r="S168" t="s">
        <v>66</v>
      </c>
      <c r="T168">
        <v>2</v>
      </c>
      <c r="U168">
        <v>4</v>
      </c>
      <c r="V168">
        <v>4</v>
      </c>
      <c r="W168">
        <v>0.5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2</v>
      </c>
      <c r="AD168">
        <v>2</v>
      </c>
      <c r="AE168">
        <v>4</v>
      </c>
      <c r="AF168">
        <v>4</v>
      </c>
      <c r="AG168">
        <v>0.5</v>
      </c>
      <c r="AH168">
        <v>4</v>
      </c>
      <c r="AI168">
        <v>1</v>
      </c>
      <c r="AJ168">
        <v>54</v>
      </c>
      <c r="AK168">
        <v>9</v>
      </c>
      <c r="AL168">
        <v>6</v>
      </c>
      <c r="AM168">
        <v>0</v>
      </c>
      <c r="AN168" t="s">
        <v>3256</v>
      </c>
      <c r="AO168" t="s">
        <v>68</v>
      </c>
      <c r="AP168">
        <v>1.87</v>
      </c>
      <c r="AQ168" t="s">
        <v>69</v>
      </c>
      <c r="AR168">
        <v>60</v>
      </c>
      <c r="AS168">
        <v>9</v>
      </c>
      <c r="AT168">
        <v>3.3439999999999998E-2</v>
      </c>
      <c r="AU168">
        <v>-5.0600000000000003E-3</v>
      </c>
      <c r="AV168">
        <v>0.14409</v>
      </c>
      <c r="AW168">
        <v>-2.6710000000000001E-2</v>
      </c>
      <c r="AX168">
        <v>5.5700000000000003E-3</v>
      </c>
      <c r="AY168">
        <v>-9.7000000000000005E-4</v>
      </c>
      <c r="AZ168">
        <v>3.8629999999999998E-2</v>
      </c>
      <c r="BA168">
        <v>1</v>
      </c>
      <c r="BB168" t="s">
        <v>70</v>
      </c>
      <c r="BC168">
        <v>-5.6000000000000001E-2</v>
      </c>
      <c r="BD168">
        <v>-0.39900000000000002</v>
      </c>
      <c r="BE168" t="s">
        <v>139</v>
      </c>
    </row>
    <row r="169" spans="1:57">
      <c r="A169">
        <v>3643</v>
      </c>
      <c r="B169" t="s">
        <v>3596</v>
      </c>
      <c r="D169" t="s">
        <v>60</v>
      </c>
      <c r="E169" t="s">
        <v>3597</v>
      </c>
      <c r="F169" t="s">
        <v>74</v>
      </c>
      <c r="G169">
        <v>286</v>
      </c>
      <c r="H169" t="s">
        <v>85</v>
      </c>
      <c r="I169">
        <v>4</v>
      </c>
      <c r="J169" t="str">
        <f>HYPERLINK("Gene3643-zp_tree_all.dnd", "Gene3643-tree")</f>
        <v>Gene3643-tree</v>
      </c>
      <c r="K169">
        <v>0</v>
      </c>
      <c r="L169">
        <v>4</v>
      </c>
      <c r="M169">
        <v>0</v>
      </c>
      <c r="N169">
        <v>4</v>
      </c>
      <c r="O169">
        <v>1</v>
      </c>
      <c r="P169" t="s">
        <v>66</v>
      </c>
      <c r="Q169" t="s">
        <v>64</v>
      </c>
      <c r="R169" t="s">
        <v>66</v>
      </c>
      <c r="S169" t="s">
        <v>66</v>
      </c>
      <c r="T169">
        <v>3</v>
      </c>
      <c r="U169">
        <v>6</v>
      </c>
      <c r="V169">
        <v>9</v>
      </c>
      <c r="W169">
        <v>0.4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4</v>
      </c>
      <c r="AE169">
        <v>6</v>
      </c>
      <c r="AF169">
        <v>9</v>
      </c>
      <c r="AG169">
        <v>0.4</v>
      </c>
      <c r="AH169">
        <v>4</v>
      </c>
      <c r="AI169">
        <v>1</v>
      </c>
      <c r="AJ169">
        <v>43</v>
      </c>
      <c r="AK169">
        <v>16</v>
      </c>
      <c r="AL169">
        <v>3</v>
      </c>
      <c r="AM169">
        <v>0</v>
      </c>
      <c r="AN169" t="s">
        <v>3598</v>
      </c>
      <c r="AO169" t="s">
        <v>68</v>
      </c>
      <c r="AP169">
        <v>1.1259999999999999</v>
      </c>
      <c r="AQ169" t="s">
        <v>69</v>
      </c>
      <c r="AR169">
        <v>46</v>
      </c>
      <c r="AS169">
        <v>16</v>
      </c>
      <c r="AT169">
        <v>3.4500000000000003E-2</v>
      </c>
      <c r="AU169">
        <v>-7.5300000000000002E-3</v>
      </c>
      <c r="AV169">
        <v>0.12773999999999999</v>
      </c>
      <c r="AW169">
        <v>-2.903E-2</v>
      </c>
      <c r="AX169">
        <v>1.166E-2</v>
      </c>
      <c r="AY169">
        <v>-2.8300000000000001E-3</v>
      </c>
      <c r="AZ169">
        <v>9.128E-2</v>
      </c>
      <c r="BA169">
        <v>1</v>
      </c>
      <c r="BB169" t="s">
        <v>70</v>
      </c>
      <c r="BC169">
        <v>-0.17399999999999999</v>
      </c>
      <c r="BD169">
        <v>-1.042</v>
      </c>
      <c r="BE169" t="s">
        <v>139</v>
      </c>
    </row>
    <row r="170" spans="1:57">
      <c r="A170">
        <v>3805</v>
      </c>
      <c r="B170" t="s">
        <v>3782</v>
      </c>
      <c r="D170" t="s">
        <v>60</v>
      </c>
      <c r="E170" t="s">
        <v>3783</v>
      </c>
      <c r="F170" t="s">
        <v>3784</v>
      </c>
      <c r="G170">
        <v>381</v>
      </c>
      <c r="H170" t="s">
        <v>85</v>
      </c>
      <c r="I170">
        <v>4</v>
      </c>
      <c r="J170" t="str">
        <f>HYPERLINK("Gene3805-zp_tree_all.dnd", "Gene3805-tree")</f>
        <v>Gene3805-tree</v>
      </c>
      <c r="K170">
        <v>0</v>
      </c>
      <c r="L170">
        <v>4</v>
      </c>
      <c r="M170">
        <v>0</v>
      </c>
      <c r="N170">
        <v>4</v>
      </c>
      <c r="O170">
        <v>1</v>
      </c>
      <c r="P170" t="s">
        <v>66</v>
      </c>
      <c r="Q170" t="s">
        <v>64</v>
      </c>
      <c r="R170" t="s">
        <v>66</v>
      </c>
      <c r="S170" t="s">
        <v>66</v>
      </c>
      <c r="T170">
        <v>1</v>
      </c>
      <c r="U170">
        <v>2</v>
      </c>
      <c r="V170">
        <v>15</v>
      </c>
      <c r="W170">
        <v>0.11765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</v>
      </c>
      <c r="AD170">
        <v>0</v>
      </c>
      <c r="AE170">
        <v>2</v>
      </c>
      <c r="AF170">
        <v>15</v>
      </c>
      <c r="AG170">
        <v>0.11765</v>
      </c>
      <c r="AH170">
        <v>4</v>
      </c>
      <c r="AI170">
        <v>1</v>
      </c>
      <c r="AJ170">
        <v>35</v>
      </c>
      <c r="AK170">
        <v>15</v>
      </c>
      <c r="AL170">
        <v>5</v>
      </c>
      <c r="AM170">
        <v>2</v>
      </c>
      <c r="AN170" t="s">
        <v>3785</v>
      </c>
      <c r="AO170" t="s">
        <v>3786</v>
      </c>
      <c r="AP170">
        <v>6.0000000000000001E-3</v>
      </c>
      <c r="AQ170" t="s">
        <v>69</v>
      </c>
      <c r="AR170">
        <v>40</v>
      </c>
      <c r="AS170">
        <v>17</v>
      </c>
      <c r="AT170">
        <v>2.5659999999999999E-2</v>
      </c>
      <c r="AU170">
        <v>-6.3200000000000001E-3</v>
      </c>
      <c r="AV170">
        <v>9.4539999999999999E-2</v>
      </c>
      <c r="AW170">
        <v>-2.7699999999999999E-2</v>
      </c>
      <c r="AX170">
        <v>9.4999999999999998E-3</v>
      </c>
      <c r="AY170">
        <v>-1.5200000000000001E-3</v>
      </c>
      <c r="AZ170">
        <v>0.10051</v>
      </c>
      <c r="BA170">
        <v>1</v>
      </c>
      <c r="BB170" t="s">
        <v>70</v>
      </c>
      <c r="BC170">
        <v>-0.41299999999999998</v>
      </c>
      <c r="BD170">
        <v>-0.41299999999999998</v>
      </c>
      <c r="BE170" t="s">
        <v>139</v>
      </c>
    </row>
    <row r="171" spans="1:57">
      <c r="A171">
        <v>3963</v>
      </c>
      <c r="B171" t="s">
        <v>3927</v>
      </c>
      <c r="D171" t="s">
        <v>60</v>
      </c>
      <c r="E171" t="s">
        <v>3928</v>
      </c>
      <c r="F171" t="s">
        <v>3929</v>
      </c>
      <c r="G171">
        <v>397</v>
      </c>
      <c r="H171" t="s">
        <v>85</v>
      </c>
      <c r="I171">
        <v>4</v>
      </c>
      <c r="J171" t="str">
        <f>HYPERLINK("Gene3963-zp_tree_all.dnd", "Gene3963-tree")</f>
        <v>Gene3963-tree</v>
      </c>
      <c r="K171">
        <v>2</v>
      </c>
      <c r="L171">
        <v>2</v>
      </c>
      <c r="M171">
        <v>2</v>
      </c>
      <c r="N171">
        <v>2</v>
      </c>
      <c r="O171">
        <v>0.5</v>
      </c>
      <c r="P171" t="s">
        <v>124</v>
      </c>
      <c r="Q171" t="s">
        <v>124</v>
      </c>
      <c r="R171" t="s">
        <v>66</v>
      </c>
      <c r="S171" t="s">
        <v>66</v>
      </c>
      <c r="T171">
        <v>1</v>
      </c>
      <c r="U171">
        <v>2</v>
      </c>
      <c r="V171">
        <v>2</v>
      </c>
      <c r="W171">
        <v>0.5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2</v>
      </c>
      <c r="AD171">
        <v>0</v>
      </c>
      <c r="AE171">
        <v>2</v>
      </c>
      <c r="AF171">
        <v>1</v>
      </c>
      <c r="AG171">
        <v>0.66666999999999998</v>
      </c>
      <c r="AH171">
        <v>4</v>
      </c>
      <c r="AI171">
        <v>1</v>
      </c>
      <c r="AJ171">
        <v>61</v>
      </c>
      <c r="AK171">
        <v>3</v>
      </c>
      <c r="AL171">
        <v>6</v>
      </c>
      <c r="AM171">
        <v>1</v>
      </c>
      <c r="AN171" t="s">
        <v>3930</v>
      </c>
      <c r="AO171" t="s">
        <v>3931</v>
      </c>
      <c r="AP171">
        <v>2.1619999999999999</v>
      </c>
      <c r="AQ171" t="s">
        <v>69</v>
      </c>
      <c r="AR171">
        <v>67</v>
      </c>
      <c r="AS171">
        <v>4</v>
      </c>
      <c r="AT171">
        <v>2.9950000000000001E-2</v>
      </c>
      <c r="AU171">
        <v>-6.8500000000000002E-3</v>
      </c>
      <c r="AV171">
        <v>0.13483999999999999</v>
      </c>
      <c r="AW171">
        <v>-3.3930000000000002E-2</v>
      </c>
      <c r="AX171">
        <v>2.2000000000000001E-3</v>
      </c>
      <c r="AY171">
        <v>-2.5999999999999998E-4</v>
      </c>
      <c r="AZ171">
        <v>1.634E-2</v>
      </c>
      <c r="BA171">
        <v>1</v>
      </c>
      <c r="BB171" t="s">
        <v>70</v>
      </c>
      <c r="BC171">
        <v>-0.40100000000000002</v>
      </c>
      <c r="BD171">
        <v>-0.54100000000000004</v>
      </c>
      <c r="BE171" t="s">
        <v>139</v>
      </c>
    </row>
    <row r="172" spans="1:57">
      <c r="A172">
        <v>3893</v>
      </c>
      <c r="B172" t="s">
        <v>3860</v>
      </c>
      <c r="D172" t="s">
        <v>60</v>
      </c>
      <c r="E172" t="s">
        <v>3861</v>
      </c>
      <c r="F172" t="s">
        <v>74</v>
      </c>
      <c r="G172">
        <v>225</v>
      </c>
      <c r="H172" t="s">
        <v>63</v>
      </c>
      <c r="I172">
        <v>5</v>
      </c>
      <c r="J172" t="str">
        <f>HYPERLINK("Gene3893-zp_tree_all.dnd", "Gene3893-tree")</f>
        <v>Gene3893-tree</v>
      </c>
      <c r="K172">
        <v>1</v>
      </c>
      <c r="L172">
        <v>4</v>
      </c>
      <c r="M172">
        <v>1</v>
      </c>
      <c r="N172">
        <v>4</v>
      </c>
      <c r="O172">
        <v>0.8</v>
      </c>
      <c r="P172" t="s">
        <v>65</v>
      </c>
      <c r="Q172" t="s">
        <v>64</v>
      </c>
      <c r="R172" t="s">
        <v>66</v>
      </c>
      <c r="S172" t="s">
        <v>66</v>
      </c>
      <c r="T172">
        <v>1</v>
      </c>
      <c r="U172">
        <v>3</v>
      </c>
      <c r="V172">
        <v>3</v>
      </c>
      <c r="W172">
        <v>0.5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0</v>
      </c>
      <c r="AE172">
        <v>3</v>
      </c>
      <c r="AF172">
        <v>3</v>
      </c>
      <c r="AG172">
        <v>0.5</v>
      </c>
      <c r="AH172">
        <v>5</v>
      </c>
      <c r="AI172">
        <v>2</v>
      </c>
      <c r="AJ172">
        <v>29</v>
      </c>
      <c r="AK172">
        <v>6</v>
      </c>
      <c r="AL172">
        <v>16</v>
      </c>
      <c r="AM172">
        <v>1</v>
      </c>
      <c r="AN172" t="s">
        <v>3862</v>
      </c>
      <c r="AO172" t="s">
        <v>3863</v>
      </c>
      <c r="AP172">
        <v>1.5660000000000001</v>
      </c>
      <c r="AQ172" t="s">
        <v>69</v>
      </c>
      <c r="AR172">
        <v>45</v>
      </c>
      <c r="AS172">
        <v>7</v>
      </c>
      <c r="AT172">
        <v>3.3779999999999998E-2</v>
      </c>
      <c r="AU172">
        <v>-3.2799999999999999E-3</v>
      </c>
      <c r="AV172">
        <v>0.12297</v>
      </c>
      <c r="AW172">
        <v>-1.256E-2</v>
      </c>
      <c r="AX172">
        <v>5.2700000000000004E-3</v>
      </c>
      <c r="AY172">
        <v>-9.6000000000000002E-4</v>
      </c>
      <c r="AZ172">
        <v>4.2869999999999998E-2</v>
      </c>
      <c r="BA172">
        <v>1</v>
      </c>
      <c r="BB172" t="s">
        <v>70</v>
      </c>
      <c r="BC172">
        <v>0.246</v>
      </c>
      <c r="BD172">
        <v>-9.6000000000000002E-2</v>
      </c>
      <c r="BE172" t="s">
        <v>139</v>
      </c>
    </row>
    <row r="173" spans="1:57">
      <c r="A173">
        <v>330</v>
      </c>
      <c r="B173" t="s">
        <v>611</v>
      </c>
      <c r="D173" t="s">
        <v>66</v>
      </c>
      <c r="E173" t="s">
        <v>612</v>
      </c>
      <c r="F173" t="s">
        <v>613</v>
      </c>
      <c r="G173">
        <v>805</v>
      </c>
      <c r="H173" t="s">
        <v>106</v>
      </c>
      <c r="I173">
        <v>4</v>
      </c>
      <c r="J173" t="str">
        <f>HYPERLINK("Gene330-zp_tree_all.dnd", "Gene330-tree")</f>
        <v>Gene330-tree</v>
      </c>
      <c r="K173">
        <v>0</v>
      </c>
      <c r="L173">
        <v>4</v>
      </c>
      <c r="M173">
        <v>0</v>
      </c>
      <c r="N173">
        <v>4</v>
      </c>
      <c r="O173">
        <v>1</v>
      </c>
      <c r="P173" t="s">
        <v>66</v>
      </c>
      <c r="Q173" t="s">
        <v>64</v>
      </c>
      <c r="R173" t="s">
        <v>66</v>
      </c>
      <c r="S173" t="s">
        <v>66</v>
      </c>
      <c r="T173">
        <v>3</v>
      </c>
      <c r="U173">
        <v>7</v>
      </c>
      <c r="V173">
        <v>17</v>
      </c>
      <c r="W173">
        <v>0.29166999999999998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4</v>
      </c>
      <c r="AD173">
        <v>3</v>
      </c>
      <c r="AE173">
        <v>7</v>
      </c>
      <c r="AF173">
        <v>17</v>
      </c>
      <c r="AG173">
        <v>0.29166999999999998</v>
      </c>
      <c r="AH173">
        <v>4</v>
      </c>
      <c r="AI173">
        <v>1</v>
      </c>
      <c r="AJ173">
        <v>138</v>
      </c>
      <c r="AK173">
        <v>22</v>
      </c>
      <c r="AL173">
        <v>10</v>
      </c>
      <c r="AM173">
        <v>2</v>
      </c>
      <c r="AN173" t="s">
        <v>614</v>
      </c>
      <c r="AO173" t="s">
        <v>615</v>
      </c>
      <c r="AP173">
        <v>0.61399999999999999</v>
      </c>
      <c r="AQ173" t="s">
        <v>69</v>
      </c>
      <c r="AR173">
        <v>148</v>
      </c>
      <c r="AS173">
        <v>24</v>
      </c>
      <c r="AT173">
        <v>3.4439999999999998E-2</v>
      </c>
      <c r="AU173">
        <v>-5.9699999999999996E-3</v>
      </c>
      <c r="AV173">
        <v>0.14369999999999999</v>
      </c>
      <c r="AW173">
        <v>-2.6700000000000002E-2</v>
      </c>
      <c r="AX173">
        <v>5.9699999999999996E-3</v>
      </c>
      <c r="AY173">
        <v>-1.17E-3</v>
      </c>
      <c r="AZ173">
        <v>4.1509999999999998E-2</v>
      </c>
      <c r="BA173">
        <v>1</v>
      </c>
      <c r="BB173" t="s">
        <v>70</v>
      </c>
      <c r="BC173">
        <v>-0.17100000000000001</v>
      </c>
      <c r="BD173">
        <v>-0.66700000000000004</v>
      </c>
      <c r="BE173" t="s">
        <v>139</v>
      </c>
    </row>
    <row r="174" spans="1:57">
      <c r="A174">
        <v>387</v>
      </c>
      <c r="B174" t="s">
        <v>664</v>
      </c>
      <c r="D174" t="s">
        <v>66</v>
      </c>
      <c r="E174" t="s">
        <v>665</v>
      </c>
      <c r="F174" t="s">
        <v>666</v>
      </c>
      <c r="G174">
        <v>292</v>
      </c>
      <c r="H174" t="s">
        <v>63</v>
      </c>
      <c r="I174">
        <v>5</v>
      </c>
      <c r="J174" t="str">
        <f>HYPERLINK("Gene387-zp_tree_all.dnd", "Gene387-tree")</f>
        <v>Gene387-tree</v>
      </c>
      <c r="K174">
        <v>0</v>
      </c>
      <c r="L174">
        <v>5</v>
      </c>
      <c r="M174">
        <v>0</v>
      </c>
      <c r="N174">
        <v>5</v>
      </c>
      <c r="O174">
        <v>1</v>
      </c>
      <c r="P174" t="s">
        <v>66</v>
      </c>
      <c r="Q174" t="s">
        <v>96</v>
      </c>
      <c r="R174" t="s">
        <v>66</v>
      </c>
      <c r="S174" t="s">
        <v>66</v>
      </c>
      <c r="T174">
        <v>3</v>
      </c>
      <c r="U174">
        <v>6</v>
      </c>
      <c r="V174">
        <v>10</v>
      </c>
      <c r="W174">
        <v>0.375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4</v>
      </c>
      <c r="AD174">
        <v>2</v>
      </c>
      <c r="AE174">
        <v>6</v>
      </c>
      <c r="AF174">
        <v>10</v>
      </c>
      <c r="AG174">
        <v>0.375</v>
      </c>
      <c r="AH174">
        <v>5</v>
      </c>
      <c r="AI174">
        <v>2</v>
      </c>
      <c r="AJ174">
        <v>30</v>
      </c>
      <c r="AK174">
        <v>12</v>
      </c>
      <c r="AL174">
        <v>22</v>
      </c>
      <c r="AM174">
        <v>4</v>
      </c>
      <c r="AN174" t="s">
        <v>667</v>
      </c>
      <c r="AO174" t="s">
        <v>668</v>
      </c>
      <c r="AP174">
        <v>1.339</v>
      </c>
      <c r="AQ174" t="s">
        <v>69</v>
      </c>
      <c r="AR174">
        <v>52</v>
      </c>
      <c r="AS174">
        <v>16</v>
      </c>
      <c r="AT174">
        <v>3.4250000000000003E-2</v>
      </c>
      <c r="AU174">
        <v>-4.3699999999999998E-3</v>
      </c>
      <c r="AV174">
        <v>0.13291</v>
      </c>
      <c r="AW174">
        <v>-2.0469999999999999E-2</v>
      </c>
      <c r="AX174">
        <v>9.3600000000000003E-3</v>
      </c>
      <c r="AY174">
        <v>-9.7000000000000005E-4</v>
      </c>
      <c r="AZ174">
        <v>7.0449999999999999E-2</v>
      </c>
      <c r="BA174">
        <v>1</v>
      </c>
      <c r="BB174" t="s">
        <v>70</v>
      </c>
      <c r="BC174">
        <v>0.315</v>
      </c>
      <c r="BD174">
        <v>-0.315</v>
      </c>
      <c r="BE174" t="s">
        <v>139</v>
      </c>
    </row>
    <row r="175" spans="1:57">
      <c r="A175">
        <v>534</v>
      </c>
      <c r="B175" t="s">
        <v>776</v>
      </c>
      <c r="D175" t="s">
        <v>66</v>
      </c>
      <c r="E175" t="s">
        <v>777</v>
      </c>
      <c r="F175" t="s">
        <v>618</v>
      </c>
      <c r="G175">
        <v>109</v>
      </c>
      <c r="H175" t="s">
        <v>85</v>
      </c>
      <c r="I175">
        <v>4</v>
      </c>
      <c r="J175" t="str">
        <f>HYPERLINK("Gene534-zp_tree_all.dnd", "Gene534-tree")</f>
        <v>Gene534-tree</v>
      </c>
      <c r="K175">
        <v>0</v>
      </c>
      <c r="L175">
        <v>4</v>
      </c>
      <c r="M175">
        <v>0</v>
      </c>
      <c r="N175">
        <v>4</v>
      </c>
      <c r="O175">
        <v>1</v>
      </c>
      <c r="P175" t="s">
        <v>66</v>
      </c>
      <c r="Q175" t="s">
        <v>64</v>
      </c>
      <c r="R175" t="s">
        <v>66</v>
      </c>
      <c r="S175" t="s">
        <v>66</v>
      </c>
      <c r="T175">
        <v>3</v>
      </c>
      <c r="U175">
        <v>6</v>
      </c>
      <c r="V175">
        <v>5</v>
      </c>
      <c r="W175">
        <v>0.54544999999999999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4</v>
      </c>
      <c r="AD175">
        <v>2</v>
      </c>
      <c r="AE175">
        <v>6</v>
      </c>
      <c r="AF175">
        <v>5</v>
      </c>
      <c r="AG175">
        <v>0.54544999999999999</v>
      </c>
      <c r="AH175">
        <v>4</v>
      </c>
      <c r="AI175">
        <v>1</v>
      </c>
      <c r="AJ175">
        <v>4</v>
      </c>
      <c r="AK175">
        <v>10</v>
      </c>
      <c r="AL175">
        <v>1</v>
      </c>
      <c r="AM175">
        <v>1</v>
      </c>
      <c r="AN175" t="s">
        <v>778</v>
      </c>
      <c r="AO175" t="s">
        <v>779</v>
      </c>
      <c r="AP175">
        <v>0.36799999999999999</v>
      </c>
      <c r="AQ175" t="s">
        <v>69</v>
      </c>
      <c r="AR175">
        <v>5</v>
      </c>
      <c r="AS175">
        <v>11</v>
      </c>
      <c r="AT175">
        <v>2.366E-2</v>
      </c>
      <c r="AU175">
        <v>-3.8300000000000001E-3</v>
      </c>
      <c r="AV175">
        <v>4.0390000000000002E-2</v>
      </c>
      <c r="AW175">
        <v>-1.2840000000000001E-2</v>
      </c>
      <c r="AX175">
        <v>1.9869999999999999E-2</v>
      </c>
      <c r="AY175">
        <v>-1.64E-3</v>
      </c>
      <c r="AZ175">
        <v>0.49206</v>
      </c>
      <c r="BA175">
        <v>0.84399999999999997</v>
      </c>
      <c r="BB175" t="s">
        <v>188</v>
      </c>
      <c r="BC175">
        <v>0.04</v>
      </c>
      <c r="BD175">
        <v>0.04</v>
      </c>
      <c r="BE175" t="s">
        <v>139</v>
      </c>
    </row>
    <row r="176" spans="1:57">
      <c r="A176">
        <v>4082</v>
      </c>
      <c r="B176" t="s">
        <v>4055</v>
      </c>
      <c r="D176" t="s">
        <v>60</v>
      </c>
      <c r="E176" t="s">
        <v>4056</v>
      </c>
      <c r="F176" t="s">
        <v>4057</v>
      </c>
      <c r="G176">
        <v>671</v>
      </c>
      <c r="H176" t="s">
        <v>1308</v>
      </c>
      <c r="I176">
        <v>4</v>
      </c>
      <c r="J176" t="str">
        <f>HYPERLINK("Gene4082-zp_tree_all.dnd", "Gene4082-tree")</f>
        <v>Gene4082-tree</v>
      </c>
      <c r="K176">
        <v>0</v>
      </c>
      <c r="L176">
        <v>4</v>
      </c>
      <c r="M176">
        <v>0</v>
      </c>
      <c r="N176">
        <v>4</v>
      </c>
      <c r="O176">
        <v>1</v>
      </c>
      <c r="P176" t="s">
        <v>66</v>
      </c>
      <c r="Q176" t="s">
        <v>64</v>
      </c>
      <c r="R176" t="s">
        <v>66</v>
      </c>
      <c r="S176" t="s">
        <v>66</v>
      </c>
      <c r="T176">
        <v>2</v>
      </c>
      <c r="U176">
        <v>4</v>
      </c>
      <c r="V176">
        <v>14</v>
      </c>
      <c r="W176">
        <v>0.22222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4</v>
      </c>
      <c r="AD176">
        <v>0</v>
      </c>
      <c r="AE176">
        <v>4</v>
      </c>
      <c r="AF176">
        <v>14</v>
      </c>
      <c r="AG176">
        <v>0.22222</v>
      </c>
      <c r="AH176">
        <v>4</v>
      </c>
      <c r="AI176">
        <v>1</v>
      </c>
      <c r="AJ176">
        <v>140</v>
      </c>
      <c r="AK176">
        <v>16</v>
      </c>
      <c r="AL176">
        <v>14</v>
      </c>
      <c r="AM176">
        <v>4</v>
      </c>
      <c r="AN176" t="s">
        <v>4058</v>
      </c>
      <c r="AO176" t="s">
        <v>4059</v>
      </c>
      <c r="AP176">
        <v>29.856999999999999</v>
      </c>
      <c r="AQ176" t="s">
        <v>69</v>
      </c>
      <c r="AR176">
        <v>154</v>
      </c>
      <c r="AS176">
        <v>20</v>
      </c>
      <c r="AT176">
        <v>4.1939999999999998E-2</v>
      </c>
      <c r="AU176">
        <v>-1.6900000000000001E-3</v>
      </c>
      <c r="AV176">
        <v>0.18790999999999999</v>
      </c>
      <c r="AW176">
        <v>-8.1600000000000006E-3</v>
      </c>
      <c r="AX176">
        <v>6.5500000000000003E-3</v>
      </c>
      <c r="AY176">
        <v>-6.8999999999999997E-4</v>
      </c>
      <c r="AZ176">
        <v>3.4869999999999998E-2</v>
      </c>
      <c r="BA176">
        <v>1</v>
      </c>
      <c r="BB176" t="s">
        <v>70</v>
      </c>
      <c r="BC176">
        <v>-0.107</v>
      </c>
      <c r="BD176">
        <v>-0.18</v>
      </c>
      <c r="BE176" t="s">
        <v>139</v>
      </c>
    </row>
    <row r="177" spans="1:57">
      <c r="A177">
        <v>1</v>
      </c>
      <c r="B177" t="s">
        <v>59</v>
      </c>
      <c r="D177" t="s">
        <v>60</v>
      </c>
      <c r="E177" t="s">
        <v>61</v>
      </c>
      <c r="F177" t="s">
        <v>62</v>
      </c>
      <c r="G177">
        <v>446</v>
      </c>
      <c r="H177" t="s">
        <v>63</v>
      </c>
      <c r="I177">
        <v>5</v>
      </c>
      <c r="J177" t="str">
        <f>HYPERLINK("Gene1-zp_tree_all.dnd", "Gene1-tree")</f>
        <v>Gene1-tree</v>
      </c>
      <c r="K177">
        <v>4</v>
      </c>
      <c r="L177">
        <v>1</v>
      </c>
      <c r="M177">
        <v>4</v>
      </c>
      <c r="N177">
        <v>1</v>
      </c>
      <c r="O177">
        <v>0.2</v>
      </c>
      <c r="P177" t="s">
        <v>64</v>
      </c>
      <c r="Q177" t="s">
        <v>65</v>
      </c>
      <c r="R177" t="s">
        <v>66</v>
      </c>
      <c r="S177" t="s">
        <v>66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5</v>
      </c>
      <c r="AI177">
        <v>2</v>
      </c>
      <c r="AJ177">
        <v>33</v>
      </c>
      <c r="AK177">
        <v>1</v>
      </c>
      <c r="AL177">
        <v>30</v>
      </c>
      <c r="AM177">
        <v>0</v>
      </c>
      <c r="AN177" t="s">
        <v>67</v>
      </c>
      <c r="AO177" t="s">
        <v>68</v>
      </c>
      <c r="AP177">
        <v>0.46300000000000002</v>
      </c>
      <c r="AQ177" t="s">
        <v>69</v>
      </c>
      <c r="AR177">
        <v>63</v>
      </c>
      <c r="AS177">
        <v>1</v>
      </c>
      <c r="AT177">
        <v>2.265E-2</v>
      </c>
      <c r="AU177">
        <v>-3.8400000000000001E-3</v>
      </c>
      <c r="AV177">
        <v>0.11142000000000001</v>
      </c>
      <c r="AW177">
        <v>-1.9349999999999999E-2</v>
      </c>
      <c r="AX177">
        <v>6.7000000000000002E-4</v>
      </c>
      <c r="AY177">
        <v>-2.7E-4</v>
      </c>
      <c r="AZ177">
        <v>6.0099999999999997E-3</v>
      </c>
      <c r="BA177">
        <v>1</v>
      </c>
      <c r="BB177" t="s">
        <v>70</v>
      </c>
      <c r="BC177">
        <v>0.39400000000000002</v>
      </c>
      <c r="BD177">
        <v>0.26300000000000001</v>
      </c>
      <c r="BE177" t="s">
        <v>71</v>
      </c>
    </row>
    <row r="178" spans="1:57">
      <c r="A178">
        <v>4</v>
      </c>
      <c r="B178" t="s">
        <v>75</v>
      </c>
      <c r="D178" t="s">
        <v>60</v>
      </c>
      <c r="E178" t="s">
        <v>76</v>
      </c>
      <c r="F178" t="s">
        <v>77</v>
      </c>
      <c r="G178">
        <v>370</v>
      </c>
      <c r="H178" t="s">
        <v>63</v>
      </c>
      <c r="I178">
        <v>5</v>
      </c>
      <c r="J178" t="str">
        <f>HYPERLINK("Gene4-zp_tree_all.dnd", "Gene4-tree")</f>
        <v>Gene4-tree</v>
      </c>
      <c r="K178">
        <v>1</v>
      </c>
      <c r="L178">
        <v>4</v>
      </c>
      <c r="M178">
        <v>1</v>
      </c>
      <c r="N178">
        <v>4</v>
      </c>
      <c r="O178">
        <v>0.8</v>
      </c>
      <c r="P178" t="s">
        <v>65</v>
      </c>
      <c r="Q178" t="s">
        <v>64</v>
      </c>
      <c r="R178" t="s">
        <v>66</v>
      </c>
      <c r="S178" t="s">
        <v>66</v>
      </c>
      <c r="T178">
        <v>0</v>
      </c>
      <c r="U178">
        <v>0</v>
      </c>
      <c r="V178">
        <v>5</v>
      </c>
      <c r="W178">
        <v>0</v>
      </c>
      <c r="X178">
        <v>0</v>
      </c>
      <c r="Y178">
        <v>0</v>
      </c>
      <c r="Z178">
        <v>0</v>
      </c>
      <c r="AA178">
        <v>2</v>
      </c>
      <c r="AB178">
        <v>0</v>
      </c>
      <c r="AC178">
        <v>0</v>
      </c>
      <c r="AD178">
        <v>0</v>
      </c>
      <c r="AE178">
        <v>0</v>
      </c>
      <c r="AF178">
        <v>3</v>
      </c>
      <c r="AG178">
        <v>0</v>
      </c>
      <c r="AH178">
        <v>4</v>
      </c>
      <c r="AI178">
        <v>1</v>
      </c>
      <c r="AJ178">
        <v>14</v>
      </c>
      <c r="AK178">
        <v>3</v>
      </c>
      <c r="AL178">
        <v>31</v>
      </c>
      <c r="AM178">
        <v>3</v>
      </c>
      <c r="AN178" t="s">
        <v>78</v>
      </c>
      <c r="AO178" t="s">
        <v>79</v>
      </c>
      <c r="AP178">
        <v>1.367</v>
      </c>
      <c r="AQ178" t="s">
        <v>69</v>
      </c>
      <c r="AR178">
        <v>45</v>
      </c>
      <c r="AS178">
        <v>6</v>
      </c>
      <c r="AT178">
        <v>2.4320000000000001E-2</v>
      </c>
      <c r="AU178">
        <v>-5.0800000000000003E-3</v>
      </c>
      <c r="AV178">
        <v>0.10435999999999999</v>
      </c>
      <c r="AW178">
        <v>-2.2880000000000001E-2</v>
      </c>
      <c r="AX178">
        <v>3.5200000000000001E-3</v>
      </c>
      <c r="AY178">
        <v>-5.8E-4</v>
      </c>
      <c r="AZ178">
        <v>3.3700000000000001E-2</v>
      </c>
      <c r="BA178">
        <v>1</v>
      </c>
      <c r="BB178" t="s">
        <v>70</v>
      </c>
      <c r="BC178">
        <v>0.94299999999999995</v>
      </c>
      <c r="BD178">
        <v>0.81799999999999995</v>
      </c>
      <c r="BE178" t="s">
        <v>71</v>
      </c>
    </row>
    <row r="179" spans="1:57">
      <c r="A179">
        <v>6</v>
      </c>
      <c r="B179" t="s">
        <v>82</v>
      </c>
      <c r="D179" t="s">
        <v>60</v>
      </c>
      <c r="E179" t="s">
        <v>83</v>
      </c>
      <c r="F179" t="s">
        <v>84</v>
      </c>
      <c r="G179">
        <v>638</v>
      </c>
      <c r="H179" t="s">
        <v>85</v>
      </c>
      <c r="I179">
        <v>4</v>
      </c>
      <c r="J179" t="str">
        <f>HYPERLINK("Gene6-zp_tree_all.dnd", "Gene6-tree")</f>
        <v>Gene6-tree</v>
      </c>
      <c r="K179">
        <v>3</v>
      </c>
      <c r="L179">
        <v>1</v>
      </c>
      <c r="M179">
        <v>3</v>
      </c>
      <c r="N179">
        <v>1</v>
      </c>
      <c r="O179">
        <v>0.25</v>
      </c>
      <c r="P179" t="s">
        <v>86</v>
      </c>
      <c r="Q179" t="s">
        <v>65</v>
      </c>
      <c r="R179" t="s">
        <v>66</v>
      </c>
      <c r="S179" t="s">
        <v>66</v>
      </c>
      <c r="T179">
        <v>0</v>
      </c>
      <c r="U179">
        <v>0</v>
      </c>
      <c r="V179">
        <v>5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4</v>
      </c>
      <c r="AG179">
        <v>0</v>
      </c>
      <c r="AH179">
        <v>4</v>
      </c>
      <c r="AI179">
        <v>1</v>
      </c>
      <c r="AJ179">
        <v>103</v>
      </c>
      <c r="AK179">
        <v>4</v>
      </c>
      <c r="AL179">
        <v>4</v>
      </c>
      <c r="AM179">
        <v>1</v>
      </c>
      <c r="AN179" t="s">
        <v>87</v>
      </c>
      <c r="AO179" t="s">
        <v>88</v>
      </c>
      <c r="AP179">
        <v>2.7349999999999999</v>
      </c>
      <c r="AQ179" t="s">
        <v>69</v>
      </c>
      <c r="AR179">
        <v>107</v>
      </c>
      <c r="AS179">
        <v>5</v>
      </c>
      <c r="AT179">
        <v>2.9170000000000001E-2</v>
      </c>
      <c r="AU179">
        <v>-7.7000000000000002E-3</v>
      </c>
      <c r="AV179">
        <v>0.13616</v>
      </c>
      <c r="AW179">
        <v>-3.7420000000000002E-2</v>
      </c>
      <c r="AX179">
        <v>1.9300000000000001E-3</v>
      </c>
      <c r="AY179">
        <v>-6.3000000000000003E-4</v>
      </c>
      <c r="AZ179">
        <v>1.417E-2</v>
      </c>
      <c r="BA179">
        <v>1</v>
      </c>
      <c r="BB179" t="s">
        <v>70</v>
      </c>
      <c r="BC179">
        <v>-0.63700000000000001</v>
      </c>
      <c r="BD179">
        <v>-0.63700000000000001</v>
      </c>
      <c r="BE179" t="s">
        <v>71</v>
      </c>
    </row>
    <row r="180" spans="1:57">
      <c r="A180">
        <v>9</v>
      </c>
      <c r="B180" t="s">
        <v>89</v>
      </c>
      <c r="D180" t="s">
        <v>60</v>
      </c>
      <c r="E180" t="s">
        <v>90</v>
      </c>
      <c r="F180" t="s">
        <v>91</v>
      </c>
      <c r="G180">
        <v>488</v>
      </c>
      <c r="H180" t="s">
        <v>85</v>
      </c>
      <c r="I180">
        <v>4</v>
      </c>
      <c r="J180" t="str">
        <f>HYPERLINK("Gene9-zp_tree_all.dnd", "Gene9-tree")</f>
        <v>Gene9-tree</v>
      </c>
      <c r="K180">
        <v>3</v>
      </c>
      <c r="L180">
        <v>1</v>
      </c>
      <c r="M180">
        <v>3</v>
      </c>
      <c r="N180">
        <v>1</v>
      </c>
      <c r="O180">
        <v>0.25</v>
      </c>
      <c r="P180" t="s">
        <v>86</v>
      </c>
      <c r="Q180" t="s">
        <v>65</v>
      </c>
      <c r="R180" t="s">
        <v>66</v>
      </c>
      <c r="S180" t="s">
        <v>66</v>
      </c>
      <c r="T180">
        <v>0</v>
      </c>
      <c r="U180">
        <v>0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1</v>
      </c>
      <c r="AJ180">
        <v>69</v>
      </c>
      <c r="AK180">
        <v>4</v>
      </c>
      <c r="AL180">
        <v>5</v>
      </c>
      <c r="AM180">
        <v>0</v>
      </c>
      <c r="AN180" t="s">
        <v>92</v>
      </c>
      <c r="AO180" t="s">
        <v>68</v>
      </c>
      <c r="AP180">
        <v>0.41099999999999998</v>
      </c>
      <c r="AQ180" t="s">
        <v>69</v>
      </c>
      <c r="AR180">
        <v>74</v>
      </c>
      <c r="AS180">
        <v>4</v>
      </c>
      <c r="AT180">
        <v>2.6749999999999999E-2</v>
      </c>
      <c r="AU180">
        <v>-7.9699999999999997E-3</v>
      </c>
      <c r="AV180">
        <v>0.12132</v>
      </c>
      <c r="AW180">
        <v>-3.6839999999999998E-2</v>
      </c>
      <c r="AX180">
        <v>1.7899999999999999E-3</v>
      </c>
      <c r="AY180">
        <v>-7.2999999999999996E-4</v>
      </c>
      <c r="AZ180">
        <v>1.478E-2</v>
      </c>
      <c r="BA180">
        <v>1</v>
      </c>
      <c r="BB180" t="s">
        <v>70</v>
      </c>
      <c r="BC180">
        <v>-0.57599999999999996</v>
      </c>
      <c r="BD180">
        <v>-0.57599999999999996</v>
      </c>
      <c r="BE180" t="s">
        <v>71</v>
      </c>
    </row>
    <row r="181" spans="1:57">
      <c r="A181">
        <v>9</v>
      </c>
      <c r="B181" t="s">
        <v>89</v>
      </c>
      <c r="D181" t="s">
        <v>60</v>
      </c>
      <c r="E181" t="s">
        <v>90</v>
      </c>
      <c r="F181" t="s">
        <v>91</v>
      </c>
      <c r="G181">
        <v>488</v>
      </c>
      <c r="H181" t="s">
        <v>85</v>
      </c>
      <c r="I181">
        <v>4</v>
      </c>
      <c r="J181" t="str">
        <f>HYPERLINK("Gene9-zp_tree_all.dnd", "Gene9-tree")</f>
        <v>Gene9-tree</v>
      </c>
      <c r="K181">
        <v>3</v>
      </c>
      <c r="L181">
        <v>1</v>
      </c>
      <c r="M181">
        <v>3</v>
      </c>
      <c r="N181">
        <v>1</v>
      </c>
      <c r="O181">
        <v>0.25</v>
      </c>
      <c r="P181" t="s">
        <v>86</v>
      </c>
      <c r="Q181" t="s">
        <v>65</v>
      </c>
      <c r="R181" t="s">
        <v>66</v>
      </c>
      <c r="S181" t="s">
        <v>66</v>
      </c>
      <c r="T181">
        <v>0</v>
      </c>
      <c r="U181">
        <v>0</v>
      </c>
      <c r="V181">
        <v>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4</v>
      </c>
      <c r="AG181">
        <v>0</v>
      </c>
      <c r="AH181">
        <v>4</v>
      </c>
      <c r="AI181">
        <v>1</v>
      </c>
      <c r="AJ181">
        <v>69</v>
      </c>
      <c r="AK181">
        <v>4</v>
      </c>
      <c r="AL181">
        <v>5</v>
      </c>
      <c r="AM181">
        <v>0</v>
      </c>
      <c r="AN181" t="s">
        <v>92</v>
      </c>
      <c r="AO181" t="s">
        <v>68</v>
      </c>
      <c r="AP181">
        <v>0.41099999999999998</v>
      </c>
      <c r="AQ181" t="s">
        <v>69</v>
      </c>
      <c r="AR181">
        <v>74</v>
      </c>
      <c r="AS181">
        <v>4</v>
      </c>
      <c r="AT181">
        <v>2.6749999999999999E-2</v>
      </c>
      <c r="AU181">
        <v>-7.9699999999999997E-3</v>
      </c>
      <c r="AV181">
        <v>0.12132</v>
      </c>
      <c r="AW181">
        <v>-3.6839999999999998E-2</v>
      </c>
      <c r="AX181">
        <v>1.7899999999999999E-3</v>
      </c>
      <c r="AY181">
        <v>-7.2999999999999996E-4</v>
      </c>
      <c r="AZ181">
        <v>1.478E-2</v>
      </c>
      <c r="BA181">
        <v>1</v>
      </c>
      <c r="BB181" t="s">
        <v>70</v>
      </c>
      <c r="BC181">
        <v>-0.57599999999999996</v>
      </c>
      <c r="BD181">
        <v>-0.57599999999999996</v>
      </c>
      <c r="BE181" t="s">
        <v>71</v>
      </c>
    </row>
    <row r="182" spans="1:57">
      <c r="A182">
        <v>11</v>
      </c>
      <c r="B182" t="s">
        <v>99</v>
      </c>
      <c r="D182" t="s">
        <v>60</v>
      </c>
      <c r="E182" t="s">
        <v>100</v>
      </c>
      <c r="F182" t="s">
        <v>101</v>
      </c>
      <c r="G182">
        <v>294</v>
      </c>
      <c r="H182" t="s">
        <v>63</v>
      </c>
      <c r="I182">
        <v>5</v>
      </c>
      <c r="J182" t="str">
        <f>HYPERLINK("Gene11-zp_tree_all.dnd", "Gene11-tree")</f>
        <v>Gene11-tree</v>
      </c>
      <c r="K182">
        <v>5</v>
      </c>
      <c r="L182">
        <v>0</v>
      </c>
      <c r="M182">
        <v>5</v>
      </c>
      <c r="N182">
        <v>0</v>
      </c>
      <c r="O182">
        <v>0</v>
      </c>
      <c r="P182" t="s">
        <v>96</v>
      </c>
      <c r="Q182" t="s">
        <v>66</v>
      </c>
      <c r="R182" t="s">
        <v>66</v>
      </c>
      <c r="S182" t="s">
        <v>66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5</v>
      </c>
      <c r="AI182">
        <v>2</v>
      </c>
      <c r="AJ182">
        <v>21</v>
      </c>
      <c r="AK182">
        <v>0</v>
      </c>
      <c r="AL182">
        <v>26</v>
      </c>
      <c r="AM182">
        <v>1</v>
      </c>
      <c r="AN182" t="s">
        <v>68</v>
      </c>
      <c r="AO182" t="s">
        <v>102</v>
      </c>
      <c r="AP182">
        <v>0.75900000000000001</v>
      </c>
      <c r="AQ182" t="s">
        <v>69</v>
      </c>
      <c r="AR182">
        <v>47</v>
      </c>
      <c r="AS182">
        <v>1</v>
      </c>
      <c r="AT182">
        <v>2.63E-2</v>
      </c>
      <c r="AU182">
        <v>-4.81E-3</v>
      </c>
      <c r="AV182">
        <v>0.11922000000000001</v>
      </c>
      <c r="AW182">
        <v>-2.2200000000000001E-2</v>
      </c>
      <c r="AX182">
        <v>1.1900000000000001E-3</v>
      </c>
      <c r="AY182">
        <v>-3.3E-4</v>
      </c>
      <c r="AZ182">
        <v>9.9799999999999993E-3</v>
      </c>
      <c r="BA182">
        <v>1</v>
      </c>
      <c r="BB182" t="s">
        <v>70</v>
      </c>
      <c r="BC182">
        <v>0.93400000000000005</v>
      </c>
      <c r="BD182">
        <v>0.93400000000000005</v>
      </c>
      <c r="BE182" t="s">
        <v>71</v>
      </c>
    </row>
    <row r="183" spans="1:57">
      <c r="A183">
        <v>21</v>
      </c>
      <c r="B183" t="s">
        <v>107</v>
      </c>
      <c r="D183" t="s">
        <v>60</v>
      </c>
      <c r="E183" t="s">
        <v>108</v>
      </c>
      <c r="F183" t="s">
        <v>109</v>
      </c>
      <c r="G183">
        <v>198</v>
      </c>
      <c r="H183" t="s">
        <v>63</v>
      </c>
      <c r="I183">
        <v>5</v>
      </c>
      <c r="J183" t="str">
        <f>HYPERLINK("Gene21-zp_tree_all.dnd", "Gene21-tree")</f>
        <v>Gene21-tree</v>
      </c>
      <c r="K183">
        <v>5</v>
      </c>
      <c r="L183">
        <v>0</v>
      </c>
      <c r="M183">
        <v>5</v>
      </c>
      <c r="N183">
        <v>0</v>
      </c>
      <c r="O183">
        <v>0</v>
      </c>
      <c r="P183" t="s">
        <v>96</v>
      </c>
      <c r="Q183" t="s">
        <v>66</v>
      </c>
      <c r="R183" t="s">
        <v>66</v>
      </c>
      <c r="S183" t="s">
        <v>66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5</v>
      </c>
      <c r="AI183">
        <v>2</v>
      </c>
      <c r="AJ183">
        <v>12</v>
      </c>
      <c r="AK183">
        <v>0</v>
      </c>
      <c r="AL183">
        <v>11</v>
      </c>
      <c r="AM183">
        <v>0</v>
      </c>
      <c r="AN183" t="s">
        <v>68</v>
      </c>
      <c r="AO183" t="s">
        <v>68</v>
      </c>
      <c r="AP183">
        <v>0</v>
      </c>
      <c r="AQ183" t="s">
        <v>69</v>
      </c>
      <c r="AR183">
        <v>23</v>
      </c>
      <c r="AS183">
        <v>0</v>
      </c>
      <c r="AT183">
        <v>1.8519999999999998E-2</v>
      </c>
      <c r="AU183">
        <v>-2.4599999999999999E-3</v>
      </c>
      <c r="AV183">
        <v>8.5339999999999999E-2</v>
      </c>
      <c r="AW183">
        <v>-1.183E-2</v>
      </c>
      <c r="AX183">
        <v>0</v>
      </c>
      <c r="AY183">
        <v>0</v>
      </c>
      <c r="AZ183">
        <v>0</v>
      </c>
      <c r="BA183">
        <v>1</v>
      </c>
      <c r="BB183" t="s">
        <v>70</v>
      </c>
      <c r="BC183">
        <v>0.67600000000000005</v>
      </c>
      <c r="BD183">
        <v>0.38200000000000001</v>
      </c>
      <c r="BE183" t="s">
        <v>71</v>
      </c>
    </row>
    <row r="184" spans="1:57">
      <c r="A184">
        <v>22</v>
      </c>
      <c r="B184" t="s">
        <v>110</v>
      </c>
      <c r="D184" t="s">
        <v>60</v>
      </c>
      <c r="E184" t="s">
        <v>111</v>
      </c>
      <c r="F184" t="s">
        <v>74</v>
      </c>
      <c r="G184">
        <v>74</v>
      </c>
      <c r="H184" t="s">
        <v>63</v>
      </c>
      <c r="I184">
        <v>5</v>
      </c>
      <c r="J184" t="str">
        <f>HYPERLINK("Gene22-zp_tree_all.dnd", "Gene22-tree")</f>
        <v>Gene22-tree</v>
      </c>
      <c r="K184">
        <v>4</v>
      </c>
      <c r="L184">
        <v>1</v>
      </c>
      <c r="M184">
        <v>3</v>
      </c>
      <c r="N184">
        <v>1</v>
      </c>
      <c r="O184">
        <v>0.25</v>
      </c>
      <c r="P184" t="s">
        <v>112</v>
      </c>
      <c r="Q184" t="s">
        <v>65</v>
      </c>
      <c r="R184" t="s">
        <v>66</v>
      </c>
      <c r="S184" t="s">
        <v>66</v>
      </c>
      <c r="T184">
        <v>1</v>
      </c>
      <c r="U184">
        <v>2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3</v>
      </c>
      <c r="AI184">
        <v>1</v>
      </c>
      <c r="AJ184">
        <v>7</v>
      </c>
      <c r="AK184">
        <v>1</v>
      </c>
      <c r="AL184">
        <v>3</v>
      </c>
      <c r="AM184">
        <v>1</v>
      </c>
      <c r="AN184" t="s">
        <v>113</v>
      </c>
      <c r="AO184" t="s">
        <v>114</v>
      </c>
      <c r="AP184">
        <v>1.002</v>
      </c>
      <c r="AQ184" t="s">
        <v>69</v>
      </c>
      <c r="AR184">
        <v>10</v>
      </c>
      <c r="AS184">
        <v>2</v>
      </c>
      <c r="AT184">
        <v>3.0030000000000001E-2</v>
      </c>
      <c r="AU184">
        <v>-5.2700000000000004E-3</v>
      </c>
      <c r="AV184">
        <v>0.14268</v>
      </c>
      <c r="AW184">
        <v>-2.4410000000000001E-2</v>
      </c>
      <c r="AX184">
        <v>6.5599999999999999E-3</v>
      </c>
      <c r="AY184">
        <v>-1.14E-3</v>
      </c>
      <c r="AZ184">
        <v>4.5949999999999998E-2</v>
      </c>
      <c r="BA184">
        <v>1</v>
      </c>
      <c r="BB184" t="s">
        <v>70</v>
      </c>
      <c r="BC184">
        <v>0.05</v>
      </c>
      <c r="BD184">
        <v>0.05</v>
      </c>
      <c r="BE184" t="s">
        <v>71</v>
      </c>
    </row>
    <row r="185" spans="1:57">
      <c r="A185">
        <v>29</v>
      </c>
      <c r="B185" t="s">
        <v>118</v>
      </c>
      <c r="D185" t="s">
        <v>60</v>
      </c>
      <c r="E185" t="s">
        <v>119</v>
      </c>
      <c r="F185" t="s">
        <v>74</v>
      </c>
      <c r="G185">
        <v>109</v>
      </c>
      <c r="H185" t="s">
        <v>63</v>
      </c>
      <c r="I185">
        <v>5</v>
      </c>
      <c r="J185" t="str">
        <f>HYPERLINK("Gene29-zp_tree_all.dnd", "Gene29-tree")</f>
        <v>Gene29-tree</v>
      </c>
      <c r="K185">
        <v>5</v>
      </c>
      <c r="L185">
        <v>0</v>
      </c>
      <c r="M185">
        <v>5</v>
      </c>
      <c r="N185">
        <v>0</v>
      </c>
      <c r="O185">
        <v>0</v>
      </c>
      <c r="P185" t="s">
        <v>96</v>
      </c>
      <c r="Q185" t="s">
        <v>66</v>
      </c>
      <c r="R185" t="s">
        <v>66</v>
      </c>
      <c r="S185" t="s">
        <v>66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4</v>
      </c>
      <c r="AI185">
        <v>2</v>
      </c>
      <c r="AJ185">
        <v>6</v>
      </c>
      <c r="AK185">
        <v>0</v>
      </c>
      <c r="AL185">
        <v>11</v>
      </c>
      <c r="AM185">
        <v>1</v>
      </c>
      <c r="AN185" t="s">
        <v>68</v>
      </c>
      <c r="AO185" t="s">
        <v>120</v>
      </c>
      <c r="AP185">
        <v>0.98899999999999999</v>
      </c>
      <c r="AQ185" t="s">
        <v>69</v>
      </c>
      <c r="AR185">
        <v>17</v>
      </c>
      <c r="AS185">
        <v>1</v>
      </c>
      <c r="AT185">
        <v>2.7519999999999999E-2</v>
      </c>
      <c r="AU185">
        <v>-4.62E-3</v>
      </c>
      <c r="AV185">
        <v>0.12463</v>
      </c>
      <c r="AW185">
        <v>-2.1010000000000001E-2</v>
      </c>
      <c r="AX185">
        <v>2.3900000000000002E-3</v>
      </c>
      <c r="AY185">
        <v>-5.6999999999999998E-4</v>
      </c>
      <c r="AZ185">
        <v>1.9140000000000001E-2</v>
      </c>
      <c r="BA185">
        <v>1</v>
      </c>
      <c r="BB185" t="s">
        <v>70</v>
      </c>
      <c r="BC185">
        <v>1.26</v>
      </c>
      <c r="BD185">
        <v>0.878</v>
      </c>
      <c r="BE185" t="s">
        <v>71</v>
      </c>
    </row>
    <row r="186" spans="1:57">
      <c r="A186">
        <v>31</v>
      </c>
      <c r="B186" t="s">
        <v>121</v>
      </c>
      <c r="D186" t="s">
        <v>60</v>
      </c>
      <c r="E186" t="s">
        <v>122</v>
      </c>
      <c r="F186" t="s">
        <v>123</v>
      </c>
      <c r="G186">
        <v>329</v>
      </c>
      <c r="H186" t="s">
        <v>63</v>
      </c>
      <c r="I186">
        <v>5</v>
      </c>
      <c r="J186" t="str">
        <f>HYPERLINK("Gene31-zp_tree_all.dnd", "Gene31-tree")</f>
        <v>Gene31-tree</v>
      </c>
      <c r="K186">
        <v>3</v>
      </c>
      <c r="L186">
        <v>2</v>
      </c>
      <c r="M186">
        <v>3</v>
      </c>
      <c r="N186">
        <v>2</v>
      </c>
      <c r="O186">
        <v>0.4</v>
      </c>
      <c r="P186" t="s">
        <v>86</v>
      </c>
      <c r="Q186" t="s">
        <v>124</v>
      </c>
      <c r="R186" t="s">
        <v>66</v>
      </c>
      <c r="S186" t="s">
        <v>66</v>
      </c>
      <c r="T186">
        <v>0</v>
      </c>
      <c r="U186">
        <v>0</v>
      </c>
      <c r="V186">
        <v>4</v>
      </c>
      <c r="W186">
        <v>0</v>
      </c>
      <c r="X186">
        <v>0</v>
      </c>
      <c r="Y186">
        <v>0</v>
      </c>
      <c r="Z186">
        <v>0</v>
      </c>
      <c r="AA186">
        <v>2</v>
      </c>
      <c r="AB186">
        <v>0</v>
      </c>
      <c r="AC186">
        <v>0</v>
      </c>
      <c r="AD186">
        <v>0</v>
      </c>
      <c r="AE186">
        <v>0</v>
      </c>
      <c r="AF186">
        <v>2</v>
      </c>
      <c r="AG186">
        <v>0</v>
      </c>
      <c r="AH186">
        <v>5</v>
      </c>
      <c r="AI186">
        <v>2</v>
      </c>
      <c r="AJ186">
        <v>21</v>
      </c>
      <c r="AK186">
        <v>2</v>
      </c>
      <c r="AL186">
        <v>14</v>
      </c>
      <c r="AM186">
        <v>2</v>
      </c>
      <c r="AN186" t="s">
        <v>125</v>
      </c>
      <c r="AO186" t="s">
        <v>126</v>
      </c>
      <c r="AP186">
        <v>0.28599999999999998</v>
      </c>
      <c r="AQ186" t="s">
        <v>69</v>
      </c>
      <c r="AR186">
        <v>35</v>
      </c>
      <c r="AS186">
        <v>4</v>
      </c>
      <c r="AT186">
        <v>1.8540000000000001E-2</v>
      </c>
      <c r="AU186">
        <v>-2.7599999999999999E-3</v>
      </c>
      <c r="AV186">
        <v>8.4669999999999995E-2</v>
      </c>
      <c r="AW186">
        <v>-1.282E-2</v>
      </c>
      <c r="AX186">
        <v>2.5699999999999998E-3</v>
      </c>
      <c r="AY186">
        <v>-4.8000000000000001E-4</v>
      </c>
      <c r="AZ186">
        <v>3.032E-2</v>
      </c>
      <c r="BA186">
        <v>1</v>
      </c>
      <c r="BB186" t="s">
        <v>70</v>
      </c>
      <c r="BC186">
        <v>0.22800000000000001</v>
      </c>
      <c r="BD186">
        <v>1.7000000000000001E-2</v>
      </c>
      <c r="BE186" t="s">
        <v>71</v>
      </c>
    </row>
    <row r="187" spans="1:57">
      <c r="A187">
        <v>32</v>
      </c>
      <c r="B187" t="s">
        <v>127</v>
      </c>
      <c r="D187" t="s">
        <v>60</v>
      </c>
      <c r="E187" t="s">
        <v>128</v>
      </c>
      <c r="F187" t="s">
        <v>129</v>
      </c>
      <c r="G187">
        <v>275</v>
      </c>
      <c r="H187" t="s">
        <v>63</v>
      </c>
      <c r="I187">
        <v>5</v>
      </c>
      <c r="J187" t="str">
        <f>HYPERLINK("Gene32-zp_tree_all.dnd", "Gene32-tree")</f>
        <v>Gene32-tree</v>
      </c>
      <c r="K187">
        <v>3</v>
      </c>
      <c r="L187">
        <v>2</v>
      </c>
      <c r="M187">
        <v>3</v>
      </c>
      <c r="N187">
        <v>2</v>
      </c>
      <c r="O187">
        <v>0.4</v>
      </c>
      <c r="P187" t="s">
        <v>86</v>
      </c>
      <c r="Q187" t="s">
        <v>124</v>
      </c>
      <c r="R187" t="s">
        <v>66</v>
      </c>
      <c r="S187" t="s">
        <v>66</v>
      </c>
      <c r="T187">
        <v>0</v>
      </c>
      <c r="U187">
        <v>0</v>
      </c>
      <c r="V187">
        <v>3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2</v>
      </c>
      <c r="AG187">
        <v>0</v>
      </c>
      <c r="AH187">
        <v>4</v>
      </c>
      <c r="AI187">
        <v>2</v>
      </c>
      <c r="AJ187">
        <v>19</v>
      </c>
      <c r="AK187">
        <v>2</v>
      </c>
      <c r="AL187">
        <v>20</v>
      </c>
      <c r="AM187">
        <v>1</v>
      </c>
      <c r="AN187" t="s">
        <v>130</v>
      </c>
      <c r="AO187" t="s">
        <v>131</v>
      </c>
      <c r="AP187">
        <v>0.55200000000000005</v>
      </c>
      <c r="AQ187" t="s">
        <v>69</v>
      </c>
      <c r="AR187">
        <v>39</v>
      </c>
      <c r="AS187">
        <v>3</v>
      </c>
      <c r="AT187">
        <v>2.461E-2</v>
      </c>
      <c r="AU187">
        <v>-4.62E-3</v>
      </c>
      <c r="AV187">
        <v>0.11305999999999999</v>
      </c>
      <c r="AW187">
        <v>-2.2110000000000001E-2</v>
      </c>
      <c r="AX187">
        <v>2.1900000000000001E-3</v>
      </c>
      <c r="AY187">
        <v>-4.0000000000000002E-4</v>
      </c>
      <c r="AZ187">
        <v>1.9390000000000001E-2</v>
      </c>
      <c r="BA187">
        <v>1</v>
      </c>
      <c r="BB187" t="s">
        <v>70</v>
      </c>
      <c r="BC187">
        <v>0.63400000000000001</v>
      </c>
      <c r="BD187">
        <v>0.27300000000000002</v>
      </c>
      <c r="BE187" t="s">
        <v>71</v>
      </c>
    </row>
    <row r="188" spans="1:57">
      <c r="A188">
        <v>33</v>
      </c>
      <c r="B188" t="s">
        <v>132</v>
      </c>
      <c r="D188" t="s">
        <v>60</v>
      </c>
      <c r="E188" t="s">
        <v>133</v>
      </c>
      <c r="F188" t="s">
        <v>134</v>
      </c>
      <c r="G188">
        <v>119</v>
      </c>
      <c r="H188" t="s">
        <v>63</v>
      </c>
      <c r="I188">
        <v>5</v>
      </c>
      <c r="J188" t="str">
        <f>HYPERLINK("Gene33-zp_tree_all.dnd", "Gene33-tree")</f>
        <v>Gene33-tree</v>
      </c>
      <c r="K188">
        <v>5</v>
      </c>
      <c r="L188">
        <v>0</v>
      </c>
      <c r="M188">
        <v>4</v>
      </c>
      <c r="N188">
        <v>0</v>
      </c>
      <c r="O188">
        <v>0</v>
      </c>
      <c r="P188" t="s">
        <v>135</v>
      </c>
      <c r="Q188" t="s">
        <v>66</v>
      </c>
      <c r="R188" t="s">
        <v>66</v>
      </c>
      <c r="S188" t="s">
        <v>66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3</v>
      </c>
      <c r="AI188">
        <v>0</v>
      </c>
      <c r="AJ188">
        <v>4</v>
      </c>
      <c r="AK188">
        <v>0</v>
      </c>
      <c r="AL188">
        <v>0</v>
      </c>
      <c r="AM188">
        <v>0</v>
      </c>
      <c r="AN188" t="s">
        <v>68</v>
      </c>
      <c r="AO188" t="s">
        <v>68</v>
      </c>
      <c r="AP188">
        <v>0</v>
      </c>
      <c r="AQ188" t="s">
        <v>69</v>
      </c>
      <c r="AR188">
        <v>4</v>
      </c>
      <c r="AS188">
        <v>0</v>
      </c>
      <c r="AT188">
        <v>5.5999999999999999E-3</v>
      </c>
      <c r="AU188">
        <v>-9.3000000000000005E-4</v>
      </c>
      <c r="AV188">
        <v>2.8670000000000001E-2</v>
      </c>
      <c r="AW188">
        <v>-4.8599999999999997E-3</v>
      </c>
      <c r="AX188">
        <v>0</v>
      </c>
      <c r="AY188">
        <v>0</v>
      </c>
      <c r="AZ188">
        <v>0</v>
      </c>
      <c r="BA188">
        <v>1</v>
      </c>
      <c r="BB188" t="s">
        <v>70</v>
      </c>
      <c r="BC188">
        <v>-0.41</v>
      </c>
      <c r="BD188">
        <v>-0.41</v>
      </c>
      <c r="BE188" t="s">
        <v>71</v>
      </c>
    </row>
    <row r="189" spans="1:57">
      <c r="A189">
        <v>40</v>
      </c>
      <c r="B189" t="s">
        <v>140</v>
      </c>
      <c r="D189" t="s">
        <v>60</v>
      </c>
      <c r="E189" t="s">
        <v>141</v>
      </c>
      <c r="F189" t="s">
        <v>74</v>
      </c>
      <c r="G189">
        <v>437</v>
      </c>
      <c r="H189" t="s">
        <v>63</v>
      </c>
      <c r="I189">
        <v>5</v>
      </c>
      <c r="J189" t="str">
        <f>HYPERLINK("Gene40-zp_tree_all.dnd", "Gene40-tree")</f>
        <v>Gene40-tree</v>
      </c>
      <c r="K189">
        <v>1</v>
      </c>
      <c r="L189">
        <v>4</v>
      </c>
      <c r="M189">
        <v>1</v>
      </c>
      <c r="N189">
        <v>4</v>
      </c>
      <c r="O189">
        <v>0.8</v>
      </c>
      <c r="P189" t="s">
        <v>65</v>
      </c>
      <c r="Q189" t="s">
        <v>64</v>
      </c>
      <c r="R189" t="s">
        <v>66</v>
      </c>
      <c r="S189" t="s">
        <v>66</v>
      </c>
      <c r="T189">
        <v>2</v>
      </c>
      <c r="U189">
        <v>4</v>
      </c>
      <c r="V189">
        <v>7</v>
      </c>
      <c r="W189">
        <v>0.36364000000000002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4</v>
      </c>
      <c r="AE189">
        <v>4</v>
      </c>
      <c r="AF189">
        <v>7</v>
      </c>
      <c r="AG189">
        <v>0.36364000000000002</v>
      </c>
      <c r="AH189">
        <v>5</v>
      </c>
      <c r="AI189">
        <v>2</v>
      </c>
      <c r="AJ189">
        <v>16</v>
      </c>
      <c r="AK189">
        <v>7</v>
      </c>
      <c r="AL189">
        <v>29</v>
      </c>
      <c r="AM189">
        <v>4</v>
      </c>
      <c r="AN189" t="s">
        <v>142</v>
      </c>
      <c r="AO189" t="s">
        <v>143</v>
      </c>
      <c r="AP189">
        <v>1.9139999999999999</v>
      </c>
      <c r="AQ189" t="s">
        <v>69</v>
      </c>
      <c r="AR189">
        <v>45</v>
      </c>
      <c r="AS189">
        <v>11</v>
      </c>
      <c r="AT189">
        <v>2.1329999999999998E-2</v>
      </c>
      <c r="AU189">
        <v>-3.7699999999999999E-3</v>
      </c>
      <c r="AV189">
        <v>8.4709999999999994E-2</v>
      </c>
      <c r="AW189">
        <v>-1.6330000000000001E-2</v>
      </c>
      <c r="AX189">
        <v>4.9399999999999999E-3</v>
      </c>
      <c r="AY189">
        <v>-6.6E-4</v>
      </c>
      <c r="AZ189">
        <v>5.8310000000000001E-2</v>
      </c>
      <c r="BA189">
        <v>1</v>
      </c>
      <c r="BB189" t="s">
        <v>70</v>
      </c>
      <c r="BC189">
        <v>0.88900000000000001</v>
      </c>
      <c r="BD189">
        <v>0.61699999999999999</v>
      </c>
      <c r="BE189" t="s">
        <v>71</v>
      </c>
    </row>
    <row r="190" spans="1:57">
      <c r="A190">
        <v>41</v>
      </c>
      <c r="B190" t="s">
        <v>144</v>
      </c>
      <c r="D190" t="s">
        <v>60</v>
      </c>
      <c r="E190" t="s">
        <v>145</v>
      </c>
      <c r="F190" t="s">
        <v>146</v>
      </c>
      <c r="G190">
        <v>186</v>
      </c>
      <c r="H190" t="s">
        <v>106</v>
      </c>
      <c r="I190">
        <v>4</v>
      </c>
      <c r="J190" t="str">
        <f>HYPERLINK("Gene41-zp_tree_all.dnd", "Gene41-tree")</f>
        <v>Gene41-tree</v>
      </c>
      <c r="K190">
        <v>0</v>
      </c>
      <c r="L190">
        <v>4</v>
      </c>
      <c r="M190">
        <v>0</v>
      </c>
      <c r="N190">
        <v>4</v>
      </c>
      <c r="O190">
        <v>1</v>
      </c>
      <c r="P190" t="s">
        <v>66</v>
      </c>
      <c r="Q190" t="s">
        <v>64</v>
      </c>
      <c r="R190" t="s">
        <v>66</v>
      </c>
      <c r="S190" t="s">
        <v>66</v>
      </c>
      <c r="T190">
        <v>1</v>
      </c>
      <c r="U190">
        <v>2</v>
      </c>
      <c r="V190">
        <v>7</v>
      </c>
      <c r="W190">
        <v>0.22222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</v>
      </c>
      <c r="AE190">
        <v>2</v>
      </c>
      <c r="AF190">
        <v>7</v>
      </c>
      <c r="AG190">
        <v>0.22222</v>
      </c>
      <c r="AH190">
        <v>4</v>
      </c>
      <c r="AI190">
        <v>1</v>
      </c>
      <c r="AJ190">
        <v>23</v>
      </c>
      <c r="AK190">
        <v>8</v>
      </c>
      <c r="AL190">
        <v>2</v>
      </c>
      <c r="AM190">
        <v>1</v>
      </c>
      <c r="AN190" t="s">
        <v>147</v>
      </c>
      <c r="AO190" t="s">
        <v>148</v>
      </c>
      <c r="AP190">
        <v>0.86399999999999999</v>
      </c>
      <c r="AQ190" t="s">
        <v>69</v>
      </c>
      <c r="AR190">
        <v>25</v>
      </c>
      <c r="AS190">
        <v>9</v>
      </c>
      <c r="AT190">
        <v>3.0759999999999999E-2</v>
      </c>
      <c r="AU190">
        <v>-5.3699999999999998E-3</v>
      </c>
      <c r="AV190">
        <v>0.11516</v>
      </c>
      <c r="AW190">
        <v>-2.222E-2</v>
      </c>
      <c r="AX190">
        <v>1.0019999999999999E-2</v>
      </c>
      <c r="AY190">
        <v>-1.6999999999999999E-3</v>
      </c>
      <c r="AZ190">
        <v>8.702E-2</v>
      </c>
      <c r="BA190">
        <v>1</v>
      </c>
      <c r="BB190" t="s">
        <v>70</v>
      </c>
      <c r="BC190">
        <v>-0.47899999999999998</v>
      </c>
      <c r="BD190">
        <v>-0.76700000000000002</v>
      </c>
      <c r="BE190" t="s">
        <v>71</v>
      </c>
    </row>
    <row r="191" spans="1:57">
      <c r="A191">
        <v>45</v>
      </c>
      <c r="B191" t="s">
        <v>152</v>
      </c>
      <c r="D191" t="s">
        <v>60</v>
      </c>
      <c r="E191" t="s">
        <v>153</v>
      </c>
      <c r="F191" t="s">
        <v>154</v>
      </c>
      <c r="G191">
        <v>61</v>
      </c>
      <c r="H191" t="s">
        <v>63</v>
      </c>
      <c r="I191">
        <v>5</v>
      </c>
      <c r="J191" t="str">
        <f>HYPERLINK("Gene45-zp_tree_all.dnd", "Gene45-tree")</f>
        <v>Gene45-tree</v>
      </c>
      <c r="K191">
        <v>5</v>
      </c>
      <c r="L191">
        <v>0</v>
      </c>
      <c r="M191">
        <v>5</v>
      </c>
      <c r="N191">
        <v>0</v>
      </c>
      <c r="O191">
        <v>0</v>
      </c>
      <c r="P191" t="s">
        <v>96</v>
      </c>
      <c r="Q191" t="s">
        <v>66</v>
      </c>
      <c r="R191" t="s">
        <v>66</v>
      </c>
      <c r="S191" t="s">
        <v>66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3</v>
      </c>
      <c r="AI191">
        <v>2</v>
      </c>
      <c r="AJ191">
        <v>5</v>
      </c>
      <c r="AK191">
        <v>0</v>
      </c>
      <c r="AL191">
        <v>4</v>
      </c>
      <c r="AM191">
        <v>0</v>
      </c>
      <c r="AN191" t="s">
        <v>68</v>
      </c>
      <c r="AO191" t="s">
        <v>68</v>
      </c>
      <c r="AP191">
        <v>0</v>
      </c>
      <c r="AQ191" t="s">
        <v>69</v>
      </c>
      <c r="AR191">
        <v>9</v>
      </c>
      <c r="AS191">
        <v>0</v>
      </c>
      <c r="AT191">
        <v>2.4039999999999999E-2</v>
      </c>
      <c r="AU191">
        <v>-3.5599999999999998E-3</v>
      </c>
      <c r="AV191">
        <v>0.12255000000000001</v>
      </c>
      <c r="AW191">
        <v>-1.949E-2</v>
      </c>
      <c r="AX191">
        <v>0</v>
      </c>
      <c r="AY191">
        <v>0</v>
      </c>
      <c r="AZ191">
        <v>0</v>
      </c>
      <c r="BA191">
        <v>1</v>
      </c>
      <c r="BB191" t="s">
        <v>70</v>
      </c>
      <c r="BC191">
        <v>0.13200000000000001</v>
      </c>
      <c r="BD191">
        <v>0.13200000000000001</v>
      </c>
      <c r="BE191" t="s">
        <v>71</v>
      </c>
    </row>
    <row r="192" spans="1:57">
      <c r="A192">
        <v>46</v>
      </c>
      <c r="B192" t="s">
        <v>155</v>
      </c>
      <c r="D192" t="s">
        <v>60</v>
      </c>
      <c r="E192" t="s">
        <v>156</v>
      </c>
      <c r="F192" t="s">
        <v>157</v>
      </c>
      <c r="G192">
        <v>289</v>
      </c>
      <c r="H192" t="s">
        <v>63</v>
      </c>
      <c r="I192">
        <v>5</v>
      </c>
      <c r="J192" t="str">
        <f>HYPERLINK("Gene46-zp_tree_all.dnd", "Gene46-tree")</f>
        <v>Gene46-tree</v>
      </c>
      <c r="K192">
        <v>5</v>
      </c>
      <c r="L192">
        <v>0</v>
      </c>
      <c r="M192">
        <v>5</v>
      </c>
      <c r="N192">
        <v>0</v>
      </c>
      <c r="O192">
        <v>0</v>
      </c>
      <c r="P192" t="s">
        <v>96</v>
      </c>
      <c r="Q192" t="s">
        <v>66</v>
      </c>
      <c r="R192" t="s">
        <v>66</v>
      </c>
      <c r="S192" t="s">
        <v>66</v>
      </c>
      <c r="T192">
        <v>0</v>
      </c>
      <c r="U192">
        <v>0</v>
      </c>
      <c r="V192">
        <v>5</v>
      </c>
      <c r="W192">
        <v>0</v>
      </c>
      <c r="X192">
        <v>0</v>
      </c>
      <c r="Y192">
        <v>0</v>
      </c>
      <c r="Z192">
        <v>0</v>
      </c>
      <c r="AA192">
        <v>5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5</v>
      </c>
      <c r="AI192">
        <v>2</v>
      </c>
      <c r="AJ192">
        <v>27</v>
      </c>
      <c r="AK192">
        <v>0</v>
      </c>
      <c r="AL192">
        <v>28</v>
      </c>
      <c r="AM192">
        <v>6</v>
      </c>
      <c r="AN192" t="s">
        <v>68</v>
      </c>
      <c r="AO192" t="s">
        <v>158</v>
      </c>
      <c r="AP192">
        <v>0.92100000000000004</v>
      </c>
      <c r="AQ192" t="s">
        <v>69</v>
      </c>
      <c r="AR192">
        <v>55</v>
      </c>
      <c r="AS192">
        <v>6</v>
      </c>
      <c r="AT192">
        <v>3.3790000000000001E-2</v>
      </c>
      <c r="AU192">
        <v>-5.3200000000000001E-3</v>
      </c>
      <c r="AV192">
        <v>0.14296</v>
      </c>
      <c r="AW192">
        <v>-2.172E-2</v>
      </c>
      <c r="AX192">
        <v>5.4400000000000004E-3</v>
      </c>
      <c r="AY192">
        <v>-1.2999999999999999E-3</v>
      </c>
      <c r="AZ192">
        <v>3.807E-2</v>
      </c>
      <c r="BA192">
        <v>1</v>
      </c>
      <c r="BB192" t="s">
        <v>70</v>
      </c>
      <c r="BC192">
        <v>0.83</v>
      </c>
      <c r="BD192">
        <v>0.28599999999999998</v>
      </c>
      <c r="BE192" t="s">
        <v>71</v>
      </c>
    </row>
    <row r="193" spans="1:57">
      <c r="A193">
        <v>47</v>
      </c>
      <c r="B193" t="s">
        <v>159</v>
      </c>
      <c r="D193" t="s">
        <v>60</v>
      </c>
      <c r="E193" t="s">
        <v>160</v>
      </c>
      <c r="F193" t="s">
        <v>161</v>
      </c>
      <c r="G193">
        <v>285</v>
      </c>
      <c r="H193" t="s">
        <v>63</v>
      </c>
      <c r="I193">
        <v>5</v>
      </c>
      <c r="J193" t="str">
        <f>HYPERLINK("Gene47-zp_tree_all.dnd", "Gene47-tree")</f>
        <v>Gene47-tree</v>
      </c>
      <c r="K193">
        <v>5</v>
      </c>
      <c r="L193">
        <v>0</v>
      </c>
      <c r="M193">
        <v>5</v>
      </c>
      <c r="N193">
        <v>0</v>
      </c>
      <c r="O193">
        <v>0</v>
      </c>
      <c r="P193" t="s">
        <v>96</v>
      </c>
      <c r="Q193" t="s">
        <v>66</v>
      </c>
      <c r="R193" t="s">
        <v>66</v>
      </c>
      <c r="S193" t="s">
        <v>66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4</v>
      </c>
      <c r="AI193">
        <v>2</v>
      </c>
      <c r="AJ193">
        <v>13</v>
      </c>
      <c r="AK193">
        <v>0</v>
      </c>
      <c r="AL193">
        <v>22</v>
      </c>
      <c r="AM193">
        <v>0</v>
      </c>
      <c r="AN193" t="s">
        <v>68</v>
      </c>
      <c r="AO193" t="s">
        <v>68</v>
      </c>
      <c r="AP193">
        <v>0</v>
      </c>
      <c r="AQ193" t="s">
        <v>69</v>
      </c>
      <c r="AR193">
        <v>35</v>
      </c>
      <c r="AS193">
        <v>0</v>
      </c>
      <c r="AT193">
        <v>2.1520000000000001E-2</v>
      </c>
      <c r="AU193">
        <v>-4.0299999999999997E-3</v>
      </c>
      <c r="AV193">
        <v>9.869E-2</v>
      </c>
      <c r="AW193">
        <v>-1.8970000000000001E-2</v>
      </c>
      <c r="AX193">
        <v>0</v>
      </c>
      <c r="AY193">
        <v>0</v>
      </c>
      <c r="AZ193">
        <v>0</v>
      </c>
      <c r="BA193">
        <v>1</v>
      </c>
      <c r="BB193" t="s">
        <v>70</v>
      </c>
      <c r="BC193">
        <v>0.71399999999999997</v>
      </c>
      <c r="BD193">
        <v>0.71399999999999997</v>
      </c>
      <c r="BE193" t="s">
        <v>71</v>
      </c>
    </row>
    <row r="194" spans="1:57">
      <c r="A194">
        <v>48</v>
      </c>
      <c r="B194" t="s">
        <v>162</v>
      </c>
      <c r="D194" t="s">
        <v>60</v>
      </c>
      <c r="E194" t="s">
        <v>163</v>
      </c>
      <c r="F194" t="s">
        <v>164</v>
      </c>
      <c r="G194">
        <v>125</v>
      </c>
      <c r="H194" t="s">
        <v>106</v>
      </c>
      <c r="I194">
        <v>4</v>
      </c>
      <c r="J194" t="str">
        <f>HYPERLINK("Gene48-zp_tree_all.dnd", "Gene48-tree")</f>
        <v>Gene48-tree</v>
      </c>
      <c r="K194">
        <v>2</v>
      </c>
      <c r="L194">
        <v>2</v>
      </c>
      <c r="M194">
        <v>2</v>
      </c>
      <c r="N194">
        <v>2</v>
      </c>
      <c r="O194">
        <v>0.5</v>
      </c>
      <c r="P194" t="s">
        <v>124</v>
      </c>
      <c r="Q194" t="s">
        <v>124</v>
      </c>
      <c r="R194" t="s">
        <v>66</v>
      </c>
      <c r="S194" t="s">
        <v>66</v>
      </c>
      <c r="T194">
        <v>0</v>
      </c>
      <c r="U194">
        <v>0</v>
      </c>
      <c r="V194">
        <v>2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2</v>
      </c>
      <c r="AG194">
        <v>0</v>
      </c>
      <c r="AH194">
        <v>4</v>
      </c>
      <c r="AI194">
        <v>1</v>
      </c>
      <c r="AJ194">
        <v>21</v>
      </c>
      <c r="AK194">
        <v>2</v>
      </c>
      <c r="AL194">
        <v>2</v>
      </c>
      <c r="AM194">
        <v>0</v>
      </c>
      <c r="AN194" t="s">
        <v>165</v>
      </c>
      <c r="AO194" t="s">
        <v>68</v>
      </c>
      <c r="AP194">
        <v>0.86799999999999999</v>
      </c>
      <c r="AQ194" t="s">
        <v>69</v>
      </c>
      <c r="AR194">
        <v>23</v>
      </c>
      <c r="AS194">
        <v>2</v>
      </c>
      <c r="AT194">
        <v>3.422E-2</v>
      </c>
      <c r="AU194">
        <v>-7.6299999999999996E-3</v>
      </c>
      <c r="AV194">
        <v>0.15805</v>
      </c>
      <c r="AW194">
        <v>-3.9530000000000003E-2</v>
      </c>
      <c r="AX194">
        <v>3.47E-3</v>
      </c>
      <c r="AY194">
        <v>-8.1999999999999998E-4</v>
      </c>
      <c r="AZ194">
        <v>2.197E-2</v>
      </c>
      <c r="BA194">
        <v>1</v>
      </c>
      <c r="BB194" t="s">
        <v>70</v>
      </c>
      <c r="BC194">
        <v>-0.60699999999999998</v>
      </c>
      <c r="BD194">
        <v>-0.60699999999999998</v>
      </c>
      <c r="BE194" t="s">
        <v>71</v>
      </c>
    </row>
    <row r="195" spans="1:57">
      <c r="A195">
        <v>49</v>
      </c>
      <c r="B195" t="s">
        <v>166</v>
      </c>
      <c r="D195" t="s">
        <v>60</v>
      </c>
      <c r="E195" t="s">
        <v>167</v>
      </c>
      <c r="F195" t="s">
        <v>168</v>
      </c>
      <c r="G195">
        <v>97</v>
      </c>
      <c r="H195" t="s">
        <v>63</v>
      </c>
      <c r="I195">
        <v>5</v>
      </c>
      <c r="J195" t="str">
        <f>HYPERLINK("Gene49-zp_tree_all.dnd", "Gene49-tree")</f>
        <v>Gene49-tree</v>
      </c>
      <c r="K195">
        <v>4</v>
      </c>
      <c r="L195">
        <v>1</v>
      </c>
      <c r="M195">
        <v>3</v>
      </c>
      <c r="N195">
        <v>1</v>
      </c>
      <c r="O195">
        <v>0.25</v>
      </c>
      <c r="P195" t="s">
        <v>112</v>
      </c>
      <c r="Q195" t="s">
        <v>65</v>
      </c>
      <c r="R195" t="s">
        <v>66</v>
      </c>
      <c r="S195" t="s">
        <v>66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2</v>
      </c>
      <c r="AI195">
        <v>1</v>
      </c>
      <c r="AJ195">
        <v>1</v>
      </c>
      <c r="AK195">
        <v>1</v>
      </c>
      <c r="AL195">
        <v>2</v>
      </c>
      <c r="AM195">
        <v>0</v>
      </c>
      <c r="AN195" t="s">
        <v>169</v>
      </c>
      <c r="AO195" t="s">
        <v>68</v>
      </c>
      <c r="AP195">
        <v>0.70699999999999996</v>
      </c>
      <c r="AQ195" t="s">
        <v>69</v>
      </c>
      <c r="AR195">
        <v>3</v>
      </c>
      <c r="AS195">
        <v>1</v>
      </c>
      <c r="AT195">
        <v>8.0199999999999994E-3</v>
      </c>
      <c r="AU195">
        <v>-1.5499999999999999E-3</v>
      </c>
      <c r="AV195">
        <v>2.7490000000000001E-2</v>
      </c>
      <c r="AW195">
        <v>-4.7200000000000002E-3</v>
      </c>
      <c r="AX195">
        <v>2.2499999999999998E-3</v>
      </c>
      <c r="AY195">
        <v>-9.2000000000000003E-4</v>
      </c>
      <c r="AZ195">
        <v>8.1920000000000007E-2</v>
      </c>
      <c r="BA195">
        <v>1</v>
      </c>
      <c r="BB195" t="s">
        <v>70</v>
      </c>
      <c r="BC195">
        <v>0.27300000000000002</v>
      </c>
      <c r="BD195">
        <v>0.27300000000000002</v>
      </c>
      <c r="BE195" t="s">
        <v>71</v>
      </c>
    </row>
    <row r="196" spans="1:57">
      <c r="A196">
        <v>50</v>
      </c>
      <c r="B196" t="s">
        <v>170</v>
      </c>
      <c r="D196" t="s">
        <v>60</v>
      </c>
      <c r="E196" t="s">
        <v>171</v>
      </c>
      <c r="F196" t="s">
        <v>172</v>
      </c>
      <c r="G196">
        <v>456</v>
      </c>
      <c r="H196" t="s">
        <v>63</v>
      </c>
      <c r="I196">
        <v>5</v>
      </c>
      <c r="J196" t="str">
        <f>HYPERLINK("Gene50-zp_tree_all.dnd", "Gene50-tree")</f>
        <v>Gene50-tree</v>
      </c>
      <c r="K196">
        <v>1</v>
      </c>
      <c r="L196">
        <v>4</v>
      </c>
      <c r="M196">
        <v>1</v>
      </c>
      <c r="N196">
        <v>4</v>
      </c>
      <c r="O196">
        <v>0.8</v>
      </c>
      <c r="P196" t="s">
        <v>65</v>
      </c>
      <c r="Q196" t="s">
        <v>64</v>
      </c>
      <c r="R196" t="s">
        <v>66</v>
      </c>
      <c r="S196" t="s">
        <v>66</v>
      </c>
      <c r="T196">
        <v>0</v>
      </c>
      <c r="U196">
        <v>0</v>
      </c>
      <c r="V196">
        <v>8</v>
      </c>
      <c r="W196">
        <v>0</v>
      </c>
      <c r="X196">
        <v>0</v>
      </c>
      <c r="Y196">
        <v>0</v>
      </c>
      <c r="Z196">
        <v>0</v>
      </c>
      <c r="AA196">
        <v>4</v>
      </c>
      <c r="AB196">
        <v>0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5</v>
      </c>
      <c r="AI196">
        <v>2</v>
      </c>
      <c r="AJ196">
        <v>24</v>
      </c>
      <c r="AK196">
        <v>4</v>
      </c>
      <c r="AL196">
        <v>37</v>
      </c>
      <c r="AM196">
        <v>4</v>
      </c>
      <c r="AN196" t="s">
        <v>173</v>
      </c>
      <c r="AO196" t="s">
        <v>174</v>
      </c>
      <c r="AP196">
        <v>0.77400000000000002</v>
      </c>
      <c r="AQ196" t="s">
        <v>69</v>
      </c>
      <c r="AR196">
        <v>61</v>
      </c>
      <c r="AS196">
        <v>8</v>
      </c>
      <c r="AT196">
        <v>2.564E-2</v>
      </c>
      <c r="AU196">
        <v>-4.1999999999999997E-3</v>
      </c>
      <c r="AV196">
        <v>0.10789</v>
      </c>
      <c r="AW196">
        <v>-1.9140000000000001E-2</v>
      </c>
      <c r="AX196">
        <v>3.82E-3</v>
      </c>
      <c r="AY196">
        <v>-4.8999999999999998E-4</v>
      </c>
      <c r="AZ196">
        <v>3.542E-2</v>
      </c>
      <c r="BA196">
        <v>1</v>
      </c>
      <c r="BB196" t="s">
        <v>70</v>
      </c>
      <c r="BC196">
        <v>0.79400000000000004</v>
      </c>
      <c r="BD196">
        <v>0.60199999999999998</v>
      </c>
      <c r="BE196" t="s">
        <v>71</v>
      </c>
    </row>
    <row r="197" spans="1:57">
      <c r="A197">
        <v>51</v>
      </c>
      <c r="B197" t="s">
        <v>175</v>
      </c>
      <c r="D197" t="s">
        <v>60</v>
      </c>
      <c r="E197" t="s">
        <v>176</v>
      </c>
      <c r="F197" t="s">
        <v>177</v>
      </c>
      <c r="G197">
        <v>317</v>
      </c>
      <c r="H197" t="s">
        <v>63</v>
      </c>
      <c r="I197">
        <v>5</v>
      </c>
      <c r="J197" t="str">
        <f>HYPERLINK("Gene51-zp_tree_all.dnd", "Gene51-tree")</f>
        <v>Gene51-tree</v>
      </c>
      <c r="K197">
        <v>5</v>
      </c>
      <c r="L197">
        <v>0</v>
      </c>
      <c r="M197">
        <v>4</v>
      </c>
      <c r="N197">
        <v>0</v>
      </c>
      <c r="O197">
        <v>0</v>
      </c>
      <c r="P197" t="s">
        <v>135</v>
      </c>
      <c r="Q197" t="s">
        <v>66</v>
      </c>
      <c r="R197" t="s">
        <v>66</v>
      </c>
      <c r="S197" t="s">
        <v>66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4</v>
      </c>
      <c r="AI197">
        <v>1</v>
      </c>
      <c r="AJ197">
        <v>20</v>
      </c>
      <c r="AK197">
        <v>0</v>
      </c>
      <c r="AL197">
        <v>16</v>
      </c>
      <c r="AM197">
        <v>0</v>
      </c>
      <c r="AN197" t="s">
        <v>68</v>
      </c>
      <c r="AO197" t="s">
        <v>68</v>
      </c>
      <c r="AP197">
        <v>0</v>
      </c>
      <c r="AQ197" t="s">
        <v>69</v>
      </c>
      <c r="AR197">
        <v>36</v>
      </c>
      <c r="AS197">
        <v>0</v>
      </c>
      <c r="AT197">
        <v>2.138E-2</v>
      </c>
      <c r="AU197">
        <v>-3.29E-3</v>
      </c>
      <c r="AV197">
        <v>9.7110000000000002E-2</v>
      </c>
      <c r="AW197">
        <v>-1.5440000000000001E-2</v>
      </c>
      <c r="AX197">
        <v>0</v>
      </c>
      <c r="AY197">
        <v>0</v>
      </c>
      <c r="AZ197">
        <v>0</v>
      </c>
      <c r="BA197">
        <v>1</v>
      </c>
      <c r="BB197" t="s">
        <v>70</v>
      </c>
      <c r="BC197">
        <v>0.44700000000000001</v>
      </c>
      <c r="BD197">
        <v>0.26800000000000002</v>
      </c>
      <c r="BE197" t="s">
        <v>71</v>
      </c>
    </row>
    <row r="198" spans="1:57">
      <c r="A198">
        <v>53</v>
      </c>
      <c r="B198" t="s">
        <v>178</v>
      </c>
      <c r="D198" t="s">
        <v>60</v>
      </c>
      <c r="E198" t="s">
        <v>179</v>
      </c>
      <c r="F198" t="s">
        <v>180</v>
      </c>
      <c r="G198">
        <v>188</v>
      </c>
      <c r="H198" t="s">
        <v>63</v>
      </c>
      <c r="I198">
        <v>5</v>
      </c>
      <c r="J198" t="str">
        <f>HYPERLINK("Gene53-zp_tree_all.dnd", "Gene53-tree")</f>
        <v>Gene53-tree</v>
      </c>
      <c r="K198">
        <v>4</v>
      </c>
      <c r="L198">
        <v>1</v>
      </c>
      <c r="M198">
        <v>4</v>
      </c>
      <c r="N198">
        <v>1</v>
      </c>
      <c r="O198">
        <v>0.2</v>
      </c>
      <c r="P198" t="s">
        <v>64</v>
      </c>
      <c r="Q198" t="s">
        <v>65</v>
      </c>
      <c r="R198" t="s">
        <v>66</v>
      </c>
      <c r="S198" t="s">
        <v>66</v>
      </c>
      <c r="T198">
        <v>0</v>
      </c>
      <c r="U198">
        <v>0</v>
      </c>
      <c r="V198">
        <v>7</v>
      </c>
      <c r="W198">
        <v>0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3</v>
      </c>
      <c r="AG198">
        <v>0</v>
      </c>
      <c r="AH198">
        <v>4</v>
      </c>
      <c r="AI198">
        <v>1</v>
      </c>
      <c r="AJ198">
        <v>17</v>
      </c>
      <c r="AK198">
        <v>3</v>
      </c>
      <c r="AL198">
        <v>13</v>
      </c>
      <c r="AM198">
        <v>4</v>
      </c>
      <c r="AN198" t="s">
        <v>181</v>
      </c>
      <c r="AO198" t="s">
        <v>182</v>
      </c>
      <c r="AP198">
        <v>0.41799999999999998</v>
      </c>
      <c r="AQ198" t="s">
        <v>69</v>
      </c>
      <c r="AR198">
        <v>30</v>
      </c>
      <c r="AS198">
        <v>7</v>
      </c>
      <c r="AT198">
        <v>3.227E-2</v>
      </c>
      <c r="AU198">
        <v>-5.7099999999999998E-3</v>
      </c>
      <c r="AV198">
        <v>0.12706000000000001</v>
      </c>
      <c r="AW198">
        <v>-2.2210000000000001E-2</v>
      </c>
      <c r="AX198">
        <v>8.3300000000000006E-3</v>
      </c>
      <c r="AY198">
        <v>-2E-3</v>
      </c>
      <c r="AZ198">
        <v>6.5559999999999993E-2</v>
      </c>
      <c r="BA198">
        <v>1</v>
      </c>
      <c r="BB198" t="s">
        <v>70</v>
      </c>
      <c r="BC198">
        <v>0.186</v>
      </c>
      <c r="BD198">
        <v>0.186</v>
      </c>
      <c r="BE198" t="s">
        <v>71</v>
      </c>
    </row>
    <row r="199" spans="1:57">
      <c r="A199">
        <v>54</v>
      </c>
      <c r="B199" t="s">
        <v>183</v>
      </c>
      <c r="D199" t="s">
        <v>60</v>
      </c>
      <c r="E199" t="s">
        <v>184</v>
      </c>
      <c r="F199" t="s">
        <v>74</v>
      </c>
      <c r="G199">
        <v>76</v>
      </c>
      <c r="H199" t="s">
        <v>63</v>
      </c>
      <c r="I199">
        <v>5</v>
      </c>
      <c r="J199" t="str">
        <f>HYPERLINK("Gene54-zp_tree_all.dnd", "Gene54-tree")</f>
        <v>Gene54-tree</v>
      </c>
      <c r="K199">
        <v>3</v>
      </c>
      <c r="L199">
        <v>2</v>
      </c>
      <c r="M199">
        <v>2</v>
      </c>
      <c r="N199">
        <v>2</v>
      </c>
      <c r="O199">
        <v>0.5</v>
      </c>
      <c r="P199" t="s">
        <v>185</v>
      </c>
      <c r="Q199" t="s">
        <v>124</v>
      </c>
      <c r="R199" t="s">
        <v>66</v>
      </c>
      <c r="S199" t="s">
        <v>66</v>
      </c>
      <c r="T199">
        <v>0</v>
      </c>
      <c r="U199">
        <v>0</v>
      </c>
      <c r="V199">
        <v>4</v>
      </c>
      <c r="W199">
        <v>0</v>
      </c>
      <c r="X199">
        <v>0</v>
      </c>
      <c r="Y199">
        <v>0</v>
      </c>
      <c r="Z199">
        <v>0</v>
      </c>
      <c r="AA199">
        <v>2</v>
      </c>
      <c r="AB199">
        <v>0</v>
      </c>
      <c r="AC199">
        <v>0</v>
      </c>
      <c r="AD199">
        <v>0</v>
      </c>
      <c r="AE199">
        <v>0</v>
      </c>
      <c r="AF199">
        <v>2</v>
      </c>
      <c r="AG199">
        <v>0</v>
      </c>
      <c r="AH199">
        <v>3</v>
      </c>
      <c r="AI199">
        <v>1</v>
      </c>
      <c r="AJ199">
        <v>2</v>
      </c>
      <c r="AK199">
        <v>2</v>
      </c>
      <c r="AL199">
        <v>3</v>
      </c>
      <c r="AM199">
        <v>2</v>
      </c>
      <c r="AN199" t="s">
        <v>186</v>
      </c>
      <c r="AO199" t="s">
        <v>187</v>
      </c>
      <c r="AP199">
        <v>0.60699999999999998</v>
      </c>
      <c r="AQ199" t="s">
        <v>69</v>
      </c>
      <c r="AR199">
        <v>5</v>
      </c>
      <c r="AS199">
        <v>4</v>
      </c>
      <c r="AT199">
        <v>2.3390000000000001E-2</v>
      </c>
      <c r="AU199">
        <v>-4.47E-3</v>
      </c>
      <c r="AV199">
        <v>6.7040000000000002E-2</v>
      </c>
      <c r="AW199">
        <v>-1.431E-2</v>
      </c>
      <c r="AX199">
        <v>1.3050000000000001E-2</v>
      </c>
      <c r="AY199">
        <v>-1.2899999999999999E-3</v>
      </c>
      <c r="AZ199">
        <v>0.19470000000000001</v>
      </c>
      <c r="BA199">
        <v>0.93700000000000006</v>
      </c>
      <c r="BB199" t="s">
        <v>188</v>
      </c>
      <c r="BC199">
        <v>0.79</v>
      </c>
      <c r="BD199">
        <v>0.79</v>
      </c>
      <c r="BE199" t="s">
        <v>71</v>
      </c>
    </row>
    <row r="200" spans="1:57">
      <c r="A200">
        <v>61</v>
      </c>
      <c r="B200" t="s">
        <v>195</v>
      </c>
      <c r="D200" t="s">
        <v>60</v>
      </c>
      <c r="E200" t="s">
        <v>196</v>
      </c>
      <c r="F200" t="s">
        <v>197</v>
      </c>
      <c r="G200">
        <v>211</v>
      </c>
      <c r="H200" t="s">
        <v>63</v>
      </c>
      <c r="I200">
        <v>5</v>
      </c>
      <c r="J200" t="str">
        <f>HYPERLINK("Gene61-zp_tree_all.dnd", "Gene61-tree")</f>
        <v>Gene61-tree</v>
      </c>
      <c r="K200">
        <v>0</v>
      </c>
      <c r="L200">
        <v>5</v>
      </c>
      <c r="M200">
        <v>0</v>
      </c>
      <c r="N200">
        <v>5</v>
      </c>
      <c r="O200">
        <v>1</v>
      </c>
      <c r="P200" t="s">
        <v>66</v>
      </c>
      <c r="Q200" t="s">
        <v>96</v>
      </c>
      <c r="R200" t="s">
        <v>66</v>
      </c>
      <c r="S200" t="s">
        <v>66</v>
      </c>
      <c r="T200">
        <v>1</v>
      </c>
      <c r="U200">
        <v>2</v>
      </c>
      <c r="V200">
        <v>15</v>
      </c>
      <c r="W200">
        <v>0.11765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</v>
      </c>
      <c r="AE200">
        <v>2</v>
      </c>
      <c r="AF200">
        <v>15</v>
      </c>
      <c r="AG200">
        <v>0.11765</v>
      </c>
      <c r="AH200">
        <v>4</v>
      </c>
      <c r="AI200">
        <v>2</v>
      </c>
      <c r="AJ200">
        <v>8</v>
      </c>
      <c r="AK200">
        <v>10</v>
      </c>
      <c r="AL200">
        <v>13</v>
      </c>
      <c r="AM200">
        <v>8</v>
      </c>
      <c r="AN200" t="s">
        <v>198</v>
      </c>
      <c r="AO200" t="s">
        <v>199</v>
      </c>
      <c r="AP200">
        <v>0.82499999999999996</v>
      </c>
      <c r="AQ200" t="s">
        <v>69</v>
      </c>
      <c r="AR200">
        <v>21</v>
      </c>
      <c r="AS200">
        <v>18</v>
      </c>
      <c r="AT200">
        <v>3.048E-2</v>
      </c>
      <c r="AU200">
        <v>-5.3600000000000002E-3</v>
      </c>
      <c r="AV200">
        <v>7.3450000000000001E-2</v>
      </c>
      <c r="AW200">
        <v>-1.4449999999999999E-2</v>
      </c>
      <c r="AX200">
        <v>1.8679999999999999E-2</v>
      </c>
      <c r="AY200">
        <v>-3.0599999999999998E-3</v>
      </c>
      <c r="AZ200">
        <v>0.25430999999999998</v>
      </c>
      <c r="BA200">
        <v>1</v>
      </c>
      <c r="BB200" t="s">
        <v>70</v>
      </c>
      <c r="BC200">
        <v>0.60899999999999999</v>
      </c>
      <c r="BD200">
        <v>0.186</v>
      </c>
      <c r="BE200" t="s">
        <v>71</v>
      </c>
    </row>
    <row r="201" spans="1:57">
      <c r="A201">
        <v>62</v>
      </c>
      <c r="B201" t="s">
        <v>200</v>
      </c>
      <c r="D201" t="s">
        <v>60</v>
      </c>
      <c r="E201" t="s">
        <v>201</v>
      </c>
      <c r="F201" t="s">
        <v>202</v>
      </c>
      <c r="G201">
        <v>125</v>
      </c>
      <c r="H201" t="s">
        <v>63</v>
      </c>
      <c r="I201">
        <v>5</v>
      </c>
      <c r="J201" t="str">
        <f>HYPERLINK("Gene62-zp_tree_all.dnd", "Gene62-tree")</f>
        <v>Gene62-tree</v>
      </c>
      <c r="K201">
        <v>4</v>
      </c>
      <c r="L201">
        <v>1</v>
      </c>
      <c r="M201">
        <v>4</v>
      </c>
      <c r="N201">
        <v>1</v>
      </c>
      <c r="O201">
        <v>0.2</v>
      </c>
      <c r="P201" t="s">
        <v>64</v>
      </c>
      <c r="Q201" t="s">
        <v>65</v>
      </c>
      <c r="R201" t="s">
        <v>66</v>
      </c>
      <c r="S201" t="s">
        <v>66</v>
      </c>
      <c r="T201">
        <v>0</v>
      </c>
      <c r="U201">
        <v>0</v>
      </c>
      <c r="V201">
        <v>2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4</v>
      </c>
      <c r="AI201">
        <v>2</v>
      </c>
      <c r="AJ201">
        <v>7</v>
      </c>
      <c r="AK201">
        <v>1</v>
      </c>
      <c r="AL201">
        <v>7</v>
      </c>
      <c r="AM201">
        <v>1</v>
      </c>
      <c r="AN201" t="s">
        <v>203</v>
      </c>
      <c r="AO201" t="s">
        <v>204</v>
      </c>
      <c r="AP201">
        <v>1.6E-2</v>
      </c>
      <c r="AQ201" t="s">
        <v>69</v>
      </c>
      <c r="AR201">
        <v>14</v>
      </c>
      <c r="AS201">
        <v>2</v>
      </c>
      <c r="AT201">
        <v>2.1329999999999998E-2</v>
      </c>
      <c r="AU201">
        <v>-3.4399999999999999E-3</v>
      </c>
      <c r="AV201">
        <v>9.3759999999999996E-2</v>
      </c>
      <c r="AW201">
        <v>-1.5140000000000001E-2</v>
      </c>
      <c r="AX201">
        <v>3.4099999999999998E-3</v>
      </c>
      <c r="AY201">
        <v>-8.4000000000000003E-4</v>
      </c>
      <c r="AZ201">
        <v>3.637E-2</v>
      </c>
      <c r="BA201">
        <v>1</v>
      </c>
      <c r="BB201" t="s">
        <v>70</v>
      </c>
      <c r="BC201">
        <v>0.30499999999999999</v>
      </c>
      <c r="BD201">
        <v>0.30499999999999999</v>
      </c>
      <c r="BE201" t="s">
        <v>71</v>
      </c>
    </row>
    <row r="202" spans="1:57">
      <c r="A202">
        <v>65</v>
      </c>
      <c r="B202" t="s">
        <v>207</v>
      </c>
      <c r="D202" t="s">
        <v>60</v>
      </c>
      <c r="E202" t="s">
        <v>208</v>
      </c>
      <c r="F202" t="s">
        <v>74</v>
      </c>
      <c r="G202">
        <v>245</v>
      </c>
      <c r="H202" t="s">
        <v>63</v>
      </c>
      <c r="I202">
        <v>5</v>
      </c>
      <c r="J202" t="str">
        <f>HYPERLINK("Gene65-zp_tree_all.dnd", "Gene65-tree")</f>
        <v>Gene65-tree</v>
      </c>
      <c r="K202">
        <v>4</v>
      </c>
      <c r="L202">
        <v>1</v>
      </c>
      <c r="M202">
        <v>4</v>
      </c>
      <c r="N202">
        <v>1</v>
      </c>
      <c r="O202">
        <v>0.2</v>
      </c>
      <c r="P202" t="s">
        <v>64</v>
      </c>
      <c r="Q202" t="s">
        <v>65</v>
      </c>
      <c r="R202" t="s">
        <v>66</v>
      </c>
      <c r="S202" t="s">
        <v>66</v>
      </c>
      <c r="T202">
        <v>0</v>
      </c>
      <c r="U202">
        <v>0</v>
      </c>
      <c r="V202">
        <v>3</v>
      </c>
      <c r="W202">
        <v>0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5</v>
      </c>
      <c r="AI202">
        <v>2</v>
      </c>
      <c r="AJ202">
        <v>21</v>
      </c>
      <c r="AK202">
        <v>1</v>
      </c>
      <c r="AL202">
        <v>21</v>
      </c>
      <c r="AM202">
        <v>2</v>
      </c>
      <c r="AN202" t="s">
        <v>209</v>
      </c>
      <c r="AO202" t="s">
        <v>210</v>
      </c>
      <c r="AP202">
        <v>0.308</v>
      </c>
      <c r="AQ202" t="s">
        <v>69</v>
      </c>
      <c r="AR202">
        <v>42</v>
      </c>
      <c r="AS202">
        <v>3</v>
      </c>
      <c r="AT202">
        <v>3.005E-2</v>
      </c>
      <c r="AU202">
        <v>-4.4999999999999997E-3</v>
      </c>
      <c r="AV202">
        <v>0.13563</v>
      </c>
      <c r="AW202">
        <v>-2.0639999999999999E-2</v>
      </c>
      <c r="AX202">
        <v>2.8400000000000001E-3</v>
      </c>
      <c r="AY202">
        <v>-6.7000000000000002E-4</v>
      </c>
      <c r="AZ202">
        <v>2.0969999999999999E-2</v>
      </c>
      <c r="BA202">
        <v>1</v>
      </c>
      <c r="BB202" t="s">
        <v>70</v>
      </c>
      <c r="BC202">
        <v>0.68700000000000006</v>
      </c>
      <c r="BD202">
        <v>0.314</v>
      </c>
      <c r="BE202" t="s">
        <v>71</v>
      </c>
    </row>
    <row r="203" spans="1:57">
      <c r="A203">
        <v>68</v>
      </c>
      <c r="B203" t="s">
        <v>216</v>
      </c>
      <c r="D203" t="s">
        <v>60</v>
      </c>
      <c r="E203" t="s">
        <v>217</v>
      </c>
      <c r="F203" t="s">
        <v>218</v>
      </c>
      <c r="G203">
        <v>180</v>
      </c>
      <c r="H203" t="s">
        <v>63</v>
      </c>
      <c r="I203">
        <v>5</v>
      </c>
      <c r="J203" t="str">
        <f>HYPERLINK("Gene68-zp_tree_all.dnd", "Gene68-tree")</f>
        <v>Gene68-tree</v>
      </c>
      <c r="K203">
        <v>4</v>
      </c>
      <c r="L203">
        <v>1</v>
      </c>
      <c r="M203">
        <v>3</v>
      </c>
      <c r="N203">
        <v>1</v>
      </c>
      <c r="O203">
        <v>0.25</v>
      </c>
      <c r="P203" t="s">
        <v>112</v>
      </c>
      <c r="Q203" t="s">
        <v>65</v>
      </c>
      <c r="R203" t="s">
        <v>66</v>
      </c>
      <c r="S203" t="s">
        <v>66</v>
      </c>
      <c r="T203">
        <v>0</v>
      </c>
      <c r="U203">
        <v>0</v>
      </c>
      <c r="V203">
        <v>2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3</v>
      </c>
      <c r="AI203">
        <v>1</v>
      </c>
      <c r="AJ203">
        <v>3</v>
      </c>
      <c r="AK203">
        <v>1</v>
      </c>
      <c r="AL203">
        <v>5</v>
      </c>
      <c r="AM203">
        <v>1</v>
      </c>
      <c r="AN203" t="s">
        <v>219</v>
      </c>
      <c r="AO203" t="s">
        <v>220</v>
      </c>
      <c r="AP203">
        <v>0.26700000000000002</v>
      </c>
      <c r="AQ203" t="s">
        <v>69</v>
      </c>
      <c r="AR203">
        <v>8</v>
      </c>
      <c r="AS203">
        <v>2</v>
      </c>
      <c r="AT203">
        <v>1.111E-2</v>
      </c>
      <c r="AU203">
        <v>-2.2300000000000002E-3</v>
      </c>
      <c r="AV203">
        <v>4.1020000000000001E-2</v>
      </c>
      <c r="AW203">
        <v>-8.9499999999999996E-3</v>
      </c>
      <c r="AX203">
        <v>2.8E-3</v>
      </c>
      <c r="AY203">
        <v>-4.8999999999999998E-4</v>
      </c>
      <c r="AZ203">
        <v>6.8210000000000007E-2</v>
      </c>
      <c r="BA203">
        <v>0.98899999999999999</v>
      </c>
      <c r="BB203" t="s">
        <v>70</v>
      </c>
      <c r="BC203">
        <v>0.59599999999999997</v>
      </c>
      <c r="BD203">
        <v>0.59599999999999997</v>
      </c>
      <c r="BE203" t="s">
        <v>71</v>
      </c>
    </row>
    <row r="204" spans="1:57">
      <c r="A204">
        <v>69</v>
      </c>
      <c r="B204" t="s">
        <v>221</v>
      </c>
      <c r="D204" t="s">
        <v>60</v>
      </c>
      <c r="E204" t="s">
        <v>222</v>
      </c>
      <c r="F204" t="s">
        <v>223</v>
      </c>
      <c r="G204">
        <v>637</v>
      </c>
      <c r="H204" t="s">
        <v>63</v>
      </c>
      <c r="I204">
        <v>5</v>
      </c>
      <c r="J204" t="str">
        <f>HYPERLINK("Gene69-zp_tree_all.dnd", "Gene69-tree")</f>
        <v>Gene69-tree</v>
      </c>
      <c r="K204">
        <v>5</v>
      </c>
      <c r="L204">
        <v>0</v>
      </c>
      <c r="M204">
        <v>5</v>
      </c>
      <c r="N204">
        <v>0</v>
      </c>
      <c r="O204">
        <v>0</v>
      </c>
      <c r="P204" t="s">
        <v>96</v>
      </c>
      <c r="Q204" t="s">
        <v>66</v>
      </c>
      <c r="R204" t="s">
        <v>66</v>
      </c>
      <c r="S204" t="s">
        <v>66</v>
      </c>
      <c r="T204">
        <v>0</v>
      </c>
      <c r="U204">
        <v>0</v>
      </c>
      <c r="V204">
        <v>2</v>
      </c>
      <c r="W204">
        <v>0</v>
      </c>
      <c r="X204">
        <v>0</v>
      </c>
      <c r="Y204">
        <v>0</v>
      </c>
      <c r="Z204">
        <v>0</v>
      </c>
      <c r="AA204">
        <v>2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5</v>
      </c>
      <c r="AI204">
        <v>2</v>
      </c>
      <c r="AJ204">
        <v>32</v>
      </c>
      <c r="AK204">
        <v>0</v>
      </c>
      <c r="AL204">
        <v>56</v>
      </c>
      <c r="AM204">
        <v>2</v>
      </c>
      <c r="AN204" t="s">
        <v>68</v>
      </c>
      <c r="AO204" t="s">
        <v>224</v>
      </c>
      <c r="AP204">
        <v>0.80700000000000005</v>
      </c>
      <c r="AQ204" t="s">
        <v>69</v>
      </c>
      <c r="AR204">
        <v>88</v>
      </c>
      <c r="AS204">
        <v>2</v>
      </c>
      <c r="AT204">
        <v>2.376E-2</v>
      </c>
      <c r="AU204">
        <v>-4.5300000000000002E-3</v>
      </c>
      <c r="AV204">
        <v>0.1123</v>
      </c>
      <c r="AW204">
        <v>-2.1870000000000001E-2</v>
      </c>
      <c r="AX204">
        <v>8.0999999999999996E-4</v>
      </c>
      <c r="AY204">
        <v>-1.9000000000000001E-4</v>
      </c>
      <c r="AZ204">
        <v>7.2500000000000004E-3</v>
      </c>
      <c r="BA204">
        <v>1</v>
      </c>
      <c r="BB204" t="s">
        <v>70</v>
      </c>
      <c r="BC204">
        <v>1.1639999999999999</v>
      </c>
      <c r="BD204">
        <v>0.625</v>
      </c>
      <c r="BE204" t="s">
        <v>71</v>
      </c>
    </row>
    <row r="205" spans="1:57">
      <c r="A205">
        <v>70</v>
      </c>
      <c r="B205" t="s">
        <v>225</v>
      </c>
      <c r="D205" t="s">
        <v>60</v>
      </c>
      <c r="E205" t="s">
        <v>226</v>
      </c>
      <c r="F205" t="s">
        <v>227</v>
      </c>
      <c r="G205">
        <v>258</v>
      </c>
      <c r="H205" t="s">
        <v>63</v>
      </c>
      <c r="I205">
        <v>5</v>
      </c>
      <c r="J205" t="str">
        <f>HYPERLINK("Gene70-zp_tree_all.dnd", "Gene70-tree")</f>
        <v>Gene70-tree</v>
      </c>
      <c r="K205">
        <v>4</v>
      </c>
      <c r="L205">
        <v>1</v>
      </c>
      <c r="M205">
        <v>4</v>
      </c>
      <c r="N205">
        <v>1</v>
      </c>
      <c r="O205">
        <v>0.2</v>
      </c>
      <c r="P205" t="s">
        <v>64</v>
      </c>
      <c r="Q205" t="s">
        <v>65</v>
      </c>
      <c r="R205" t="s">
        <v>66</v>
      </c>
      <c r="S205" t="s">
        <v>66</v>
      </c>
      <c r="T205">
        <v>0</v>
      </c>
      <c r="U205">
        <v>0</v>
      </c>
      <c r="V205">
        <v>2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5</v>
      </c>
      <c r="AI205">
        <v>2</v>
      </c>
      <c r="AJ205">
        <v>18</v>
      </c>
      <c r="AK205">
        <v>1</v>
      </c>
      <c r="AL205">
        <v>24</v>
      </c>
      <c r="AM205">
        <v>1</v>
      </c>
      <c r="AN205" t="s">
        <v>228</v>
      </c>
      <c r="AO205" t="s">
        <v>229</v>
      </c>
      <c r="AP205">
        <v>0.14399999999999999</v>
      </c>
      <c r="AQ205" t="s">
        <v>69</v>
      </c>
      <c r="AR205">
        <v>42</v>
      </c>
      <c r="AS205">
        <v>2</v>
      </c>
      <c r="AT205">
        <v>2.8289999999999999E-2</v>
      </c>
      <c r="AU205">
        <v>-4.5900000000000003E-3</v>
      </c>
      <c r="AV205">
        <v>0.12892999999999999</v>
      </c>
      <c r="AW205">
        <v>-2.1749999999999999E-2</v>
      </c>
      <c r="AX205">
        <v>1.6900000000000001E-3</v>
      </c>
      <c r="AY205">
        <v>-4.0999999999999999E-4</v>
      </c>
      <c r="AZ205">
        <v>1.3089999999999999E-2</v>
      </c>
      <c r="BA205">
        <v>1</v>
      </c>
      <c r="BB205" t="s">
        <v>70</v>
      </c>
      <c r="BC205">
        <v>0.84899999999999998</v>
      </c>
      <c r="BD205">
        <v>0.65800000000000003</v>
      </c>
      <c r="BE205" t="s">
        <v>71</v>
      </c>
    </row>
    <row r="206" spans="1:57">
      <c r="A206">
        <v>71</v>
      </c>
      <c r="B206" t="s">
        <v>230</v>
      </c>
      <c r="D206" t="s">
        <v>60</v>
      </c>
      <c r="E206" t="s">
        <v>231</v>
      </c>
      <c r="F206" t="s">
        <v>232</v>
      </c>
      <c r="G206">
        <v>291</v>
      </c>
      <c r="H206" t="s">
        <v>63</v>
      </c>
      <c r="I206">
        <v>5</v>
      </c>
      <c r="J206" t="str">
        <f>HYPERLINK("Gene71-zp_tree_all.dnd", "Gene71-tree")</f>
        <v>Gene71-tree</v>
      </c>
      <c r="K206">
        <v>3</v>
      </c>
      <c r="L206">
        <v>2</v>
      </c>
      <c r="M206">
        <v>3</v>
      </c>
      <c r="N206">
        <v>2</v>
      </c>
      <c r="O206">
        <v>0.4</v>
      </c>
      <c r="P206" t="s">
        <v>86</v>
      </c>
      <c r="Q206" t="s">
        <v>124</v>
      </c>
      <c r="R206" t="s">
        <v>66</v>
      </c>
      <c r="S206" t="s">
        <v>66</v>
      </c>
      <c r="T206">
        <v>0</v>
      </c>
      <c r="U206">
        <v>0</v>
      </c>
      <c r="V206">
        <v>5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5</v>
      </c>
      <c r="AG206">
        <v>0</v>
      </c>
      <c r="AH206">
        <v>5</v>
      </c>
      <c r="AI206">
        <v>2</v>
      </c>
      <c r="AJ206">
        <v>38</v>
      </c>
      <c r="AK206">
        <v>4</v>
      </c>
      <c r="AL206">
        <v>20</v>
      </c>
      <c r="AM206">
        <v>1</v>
      </c>
      <c r="AN206" t="s">
        <v>233</v>
      </c>
      <c r="AO206" t="s">
        <v>234</v>
      </c>
      <c r="AP206">
        <v>0.42199999999999999</v>
      </c>
      <c r="AQ206" t="s">
        <v>69</v>
      </c>
      <c r="AR206">
        <v>58</v>
      </c>
      <c r="AS206">
        <v>5</v>
      </c>
      <c r="AT206">
        <v>3.2419999999999997E-2</v>
      </c>
      <c r="AU206">
        <v>-4.7600000000000003E-3</v>
      </c>
      <c r="AV206">
        <v>0.14058000000000001</v>
      </c>
      <c r="AW206">
        <v>-2.102E-2</v>
      </c>
      <c r="AX206">
        <v>3.32E-3</v>
      </c>
      <c r="AY206">
        <v>-7.9000000000000001E-4</v>
      </c>
      <c r="AZ206">
        <v>2.3599999999999999E-2</v>
      </c>
      <c r="BA206">
        <v>1</v>
      </c>
      <c r="BB206" t="s">
        <v>70</v>
      </c>
      <c r="BC206">
        <v>0.125</v>
      </c>
      <c r="BD206">
        <v>-0.28199999999999997</v>
      </c>
      <c r="BE206" t="s">
        <v>71</v>
      </c>
    </row>
    <row r="207" spans="1:57">
      <c r="A207">
        <v>73</v>
      </c>
      <c r="B207" t="s">
        <v>235</v>
      </c>
      <c r="D207" t="s">
        <v>60</v>
      </c>
      <c r="E207" t="s">
        <v>236</v>
      </c>
      <c r="F207" t="s">
        <v>237</v>
      </c>
      <c r="G207">
        <v>308</v>
      </c>
      <c r="H207" t="s">
        <v>63</v>
      </c>
      <c r="I207">
        <v>5</v>
      </c>
      <c r="J207" t="str">
        <f>HYPERLINK("Gene73-zp_tree_all.dnd", "Gene73-tree")</f>
        <v>Gene73-tree</v>
      </c>
      <c r="K207">
        <v>2</v>
      </c>
      <c r="L207">
        <v>3</v>
      </c>
      <c r="M207">
        <v>2</v>
      </c>
      <c r="N207">
        <v>3</v>
      </c>
      <c r="O207">
        <v>0.6</v>
      </c>
      <c r="P207" t="s">
        <v>124</v>
      </c>
      <c r="Q207" t="s">
        <v>86</v>
      </c>
      <c r="R207" t="s">
        <v>66</v>
      </c>
      <c r="S207" t="s">
        <v>66</v>
      </c>
      <c r="T207">
        <v>0</v>
      </c>
      <c r="U207">
        <v>0</v>
      </c>
      <c r="V207">
        <v>3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3</v>
      </c>
      <c r="AG207">
        <v>0</v>
      </c>
      <c r="AH207">
        <v>5</v>
      </c>
      <c r="AI207">
        <v>2</v>
      </c>
      <c r="AJ207">
        <v>40</v>
      </c>
      <c r="AK207">
        <v>3</v>
      </c>
      <c r="AL207">
        <v>23</v>
      </c>
      <c r="AM207">
        <v>0</v>
      </c>
      <c r="AN207" t="s">
        <v>238</v>
      </c>
      <c r="AO207" t="s">
        <v>68</v>
      </c>
      <c r="AP207">
        <v>2.57</v>
      </c>
      <c r="AQ207" t="s">
        <v>239</v>
      </c>
      <c r="AR207">
        <v>63</v>
      </c>
      <c r="AS207">
        <v>3</v>
      </c>
      <c r="AT207">
        <v>3.2140000000000002E-2</v>
      </c>
      <c r="AU207">
        <v>-3.81E-3</v>
      </c>
      <c r="AV207">
        <v>0.14229</v>
      </c>
      <c r="AW207">
        <v>-1.8769999999999998E-2</v>
      </c>
      <c r="AX207">
        <v>1.7099999999999999E-3</v>
      </c>
      <c r="AY207">
        <v>-2.7E-4</v>
      </c>
      <c r="AZ207">
        <v>1.205E-2</v>
      </c>
      <c r="BA207">
        <v>1</v>
      </c>
      <c r="BB207" t="s">
        <v>70</v>
      </c>
      <c r="BC207">
        <v>0.109</v>
      </c>
      <c r="BD207">
        <v>-0.27900000000000003</v>
      </c>
      <c r="BE207" t="s">
        <v>71</v>
      </c>
    </row>
    <row r="208" spans="1:57">
      <c r="A208">
        <v>80</v>
      </c>
      <c r="B208" t="s">
        <v>240</v>
      </c>
      <c r="D208" t="s">
        <v>60</v>
      </c>
      <c r="E208" t="s">
        <v>241</v>
      </c>
      <c r="F208" t="s">
        <v>242</v>
      </c>
      <c r="G208">
        <v>69</v>
      </c>
      <c r="H208" t="s">
        <v>63</v>
      </c>
      <c r="I208">
        <v>5</v>
      </c>
      <c r="J208" t="str">
        <f>HYPERLINK("Gene80-zp_tree_all.dnd", "Gene80-tree")</f>
        <v>Gene80-tree</v>
      </c>
      <c r="K208">
        <v>3</v>
      </c>
      <c r="L208">
        <v>2</v>
      </c>
      <c r="M208">
        <v>3</v>
      </c>
      <c r="N208">
        <v>1</v>
      </c>
      <c r="O208">
        <v>0.25</v>
      </c>
      <c r="P208" t="s">
        <v>86</v>
      </c>
      <c r="Q208" t="s">
        <v>65</v>
      </c>
      <c r="R208" t="s">
        <v>66</v>
      </c>
      <c r="S208" t="s">
        <v>66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3</v>
      </c>
      <c r="AI208">
        <v>0</v>
      </c>
      <c r="AJ208">
        <v>5</v>
      </c>
      <c r="AK208">
        <v>1</v>
      </c>
      <c r="AL208">
        <v>0</v>
      </c>
      <c r="AM208">
        <v>0</v>
      </c>
      <c r="AN208" t="s">
        <v>243</v>
      </c>
      <c r="AO208" t="s">
        <v>68</v>
      </c>
      <c r="AP208">
        <v>0.74099999999999999</v>
      </c>
      <c r="AQ208" t="s">
        <v>69</v>
      </c>
      <c r="AR208">
        <v>5</v>
      </c>
      <c r="AS208">
        <v>1</v>
      </c>
      <c r="AT208">
        <v>1.4489999999999999E-2</v>
      </c>
      <c r="AU208">
        <v>-3.4199999999999999E-3</v>
      </c>
      <c r="AV208">
        <v>5.3539999999999997E-2</v>
      </c>
      <c r="AW208">
        <v>-1.1299999999999999E-2</v>
      </c>
      <c r="AX208">
        <v>3.1700000000000001E-3</v>
      </c>
      <c r="AY208">
        <v>-1.2999999999999999E-3</v>
      </c>
      <c r="AZ208">
        <v>5.9299999999999999E-2</v>
      </c>
      <c r="BA208">
        <v>1</v>
      </c>
      <c r="BB208" t="s">
        <v>70</v>
      </c>
      <c r="BC208">
        <v>0.76400000000000001</v>
      </c>
      <c r="BD208">
        <v>0.76400000000000001</v>
      </c>
      <c r="BE208" t="s">
        <v>71</v>
      </c>
    </row>
    <row r="209" spans="1:57">
      <c r="A209">
        <v>81</v>
      </c>
      <c r="B209" t="s">
        <v>244</v>
      </c>
      <c r="D209" t="s">
        <v>60</v>
      </c>
      <c r="E209" t="s">
        <v>245</v>
      </c>
      <c r="F209" t="s">
        <v>246</v>
      </c>
      <c r="G209">
        <v>333</v>
      </c>
      <c r="H209" t="s">
        <v>85</v>
      </c>
      <c r="I209">
        <v>4</v>
      </c>
      <c r="J209" t="str">
        <f>HYPERLINK("Gene81-zp_tree_all.dnd", "Gene81-tree")</f>
        <v>Gene81-tree</v>
      </c>
      <c r="K209">
        <v>2</v>
      </c>
      <c r="L209">
        <v>2</v>
      </c>
      <c r="M209">
        <v>2</v>
      </c>
      <c r="N209">
        <v>2</v>
      </c>
      <c r="O209">
        <v>0.5</v>
      </c>
      <c r="P209" t="s">
        <v>124</v>
      </c>
      <c r="Q209" t="s">
        <v>124</v>
      </c>
      <c r="R209" t="s">
        <v>66</v>
      </c>
      <c r="S209" t="s">
        <v>66</v>
      </c>
      <c r="T209">
        <v>0</v>
      </c>
      <c r="U209">
        <v>0</v>
      </c>
      <c r="V209">
        <v>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5</v>
      </c>
      <c r="AG209">
        <v>0</v>
      </c>
      <c r="AH209">
        <v>3</v>
      </c>
      <c r="AI209">
        <v>1</v>
      </c>
      <c r="AJ209">
        <v>41</v>
      </c>
      <c r="AK209">
        <v>5</v>
      </c>
      <c r="AL209">
        <v>1</v>
      </c>
      <c r="AM209">
        <v>0</v>
      </c>
      <c r="AN209" t="s">
        <v>247</v>
      </c>
      <c r="AO209" t="s">
        <v>68</v>
      </c>
      <c r="AP209">
        <v>0.67900000000000005</v>
      </c>
      <c r="AQ209" t="s">
        <v>69</v>
      </c>
      <c r="AR209">
        <v>42</v>
      </c>
      <c r="AS209">
        <v>5</v>
      </c>
      <c r="AT209">
        <v>2.376E-2</v>
      </c>
      <c r="AU209">
        <v>-8.0800000000000004E-3</v>
      </c>
      <c r="AV209">
        <v>0.10847</v>
      </c>
      <c r="AW209">
        <v>-3.8100000000000002E-2</v>
      </c>
      <c r="AX209">
        <v>3.2399999999999998E-3</v>
      </c>
      <c r="AY209">
        <v>-1E-3</v>
      </c>
      <c r="AZ209">
        <v>2.9819999999999999E-2</v>
      </c>
      <c r="BA209">
        <v>1</v>
      </c>
      <c r="BB209" t="s">
        <v>70</v>
      </c>
      <c r="BC209">
        <v>-0.79900000000000004</v>
      </c>
      <c r="BD209">
        <v>-0.79900000000000004</v>
      </c>
      <c r="BE209" t="s">
        <v>71</v>
      </c>
    </row>
    <row r="210" spans="1:57">
      <c r="A210">
        <v>82</v>
      </c>
      <c r="B210" t="s">
        <v>248</v>
      </c>
      <c r="D210" t="s">
        <v>60</v>
      </c>
      <c r="E210" t="s">
        <v>249</v>
      </c>
      <c r="F210" t="s">
        <v>250</v>
      </c>
      <c r="G210">
        <v>499</v>
      </c>
      <c r="H210" t="s">
        <v>63</v>
      </c>
      <c r="I210">
        <v>5</v>
      </c>
      <c r="J210" t="str">
        <f>HYPERLINK("Gene82-zp_tree_all.dnd", "Gene82-tree")</f>
        <v>Gene82-tree</v>
      </c>
      <c r="K210">
        <v>3</v>
      </c>
      <c r="L210">
        <v>2</v>
      </c>
      <c r="M210">
        <v>3</v>
      </c>
      <c r="N210">
        <v>2</v>
      </c>
      <c r="O210">
        <v>0.4</v>
      </c>
      <c r="P210" t="s">
        <v>86</v>
      </c>
      <c r="Q210" t="s">
        <v>124</v>
      </c>
      <c r="R210" t="s">
        <v>66</v>
      </c>
      <c r="S210" t="s">
        <v>66</v>
      </c>
      <c r="T210">
        <v>0</v>
      </c>
      <c r="U210">
        <v>0</v>
      </c>
      <c r="V210">
        <v>3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2</v>
      </c>
      <c r="AG210">
        <v>0</v>
      </c>
      <c r="AH210">
        <v>5</v>
      </c>
      <c r="AI210">
        <v>2</v>
      </c>
      <c r="AJ210">
        <v>39</v>
      </c>
      <c r="AK210">
        <v>2</v>
      </c>
      <c r="AL210">
        <v>48</v>
      </c>
      <c r="AM210">
        <v>1</v>
      </c>
      <c r="AN210" t="s">
        <v>251</v>
      </c>
      <c r="AO210" t="s">
        <v>252</v>
      </c>
      <c r="AP210">
        <v>0.57599999999999996</v>
      </c>
      <c r="AQ210" t="s">
        <v>69</v>
      </c>
      <c r="AR210">
        <v>87</v>
      </c>
      <c r="AS210">
        <v>3</v>
      </c>
      <c r="AT210">
        <v>2.9989999999999999E-2</v>
      </c>
      <c r="AU210">
        <v>-5.7000000000000002E-3</v>
      </c>
      <c r="AV210">
        <v>0.14990000000000001</v>
      </c>
      <c r="AW210">
        <v>-2.9700000000000001E-2</v>
      </c>
      <c r="AX210">
        <v>1.1999999999999999E-3</v>
      </c>
      <c r="AY210">
        <v>-2.2000000000000001E-4</v>
      </c>
      <c r="AZ210">
        <v>8.0300000000000007E-3</v>
      </c>
      <c r="BA210">
        <v>1</v>
      </c>
      <c r="BB210" t="s">
        <v>70</v>
      </c>
      <c r="BC210">
        <v>0.66600000000000004</v>
      </c>
      <c r="BD210">
        <v>0.39</v>
      </c>
      <c r="BE210" t="s">
        <v>71</v>
      </c>
    </row>
    <row r="211" spans="1:57">
      <c r="A211">
        <v>83</v>
      </c>
      <c r="B211" t="s">
        <v>253</v>
      </c>
      <c r="D211" t="s">
        <v>60</v>
      </c>
      <c r="E211" t="s">
        <v>254</v>
      </c>
      <c r="F211" t="s">
        <v>255</v>
      </c>
      <c r="G211">
        <v>154</v>
      </c>
      <c r="H211" t="s">
        <v>63</v>
      </c>
      <c r="I211">
        <v>5</v>
      </c>
      <c r="J211" t="str">
        <f>HYPERLINK("Gene83-zp_tree_all.dnd", "Gene83-tree")</f>
        <v>Gene83-tree</v>
      </c>
      <c r="K211">
        <v>3</v>
      </c>
      <c r="L211">
        <v>2</v>
      </c>
      <c r="M211">
        <v>3</v>
      </c>
      <c r="N211">
        <v>2</v>
      </c>
      <c r="O211">
        <v>0.4</v>
      </c>
      <c r="P211" t="s">
        <v>86</v>
      </c>
      <c r="Q211" t="s">
        <v>124</v>
      </c>
      <c r="R211" t="s">
        <v>66</v>
      </c>
      <c r="S211" t="s">
        <v>66</v>
      </c>
      <c r="T211">
        <v>0</v>
      </c>
      <c r="U211">
        <v>0</v>
      </c>
      <c r="V211">
        <v>2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2</v>
      </c>
      <c r="AG211">
        <v>0</v>
      </c>
      <c r="AH211">
        <v>4</v>
      </c>
      <c r="AI211">
        <v>1</v>
      </c>
      <c r="AJ211">
        <v>7</v>
      </c>
      <c r="AK211">
        <v>2</v>
      </c>
      <c r="AL211">
        <v>4</v>
      </c>
      <c r="AM211">
        <v>0</v>
      </c>
      <c r="AN211" t="s">
        <v>256</v>
      </c>
      <c r="AO211" t="s">
        <v>68</v>
      </c>
      <c r="AP211">
        <v>1.6259999999999999</v>
      </c>
      <c r="AQ211" t="s">
        <v>69</v>
      </c>
      <c r="AR211">
        <v>11</v>
      </c>
      <c r="AS211">
        <v>2</v>
      </c>
      <c r="AT211">
        <v>1.299E-2</v>
      </c>
      <c r="AU211">
        <v>-1.73E-3</v>
      </c>
      <c r="AV211">
        <v>5.663E-2</v>
      </c>
      <c r="AW211">
        <v>-8.9099999999999995E-3</v>
      </c>
      <c r="AX211">
        <v>2.1900000000000001E-3</v>
      </c>
      <c r="AY211">
        <v>-5.1999999999999995E-4</v>
      </c>
      <c r="AZ211">
        <v>3.8710000000000001E-2</v>
      </c>
      <c r="BA211">
        <v>1</v>
      </c>
      <c r="BB211" t="s">
        <v>70</v>
      </c>
      <c r="BC211">
        <v>-0.27900000000000003</v>
      </c>
      <c r="BD211">
        <v>-0.27900000000000003</v>
      </c>
      <c r="BE211" t="s">
        <v>71</v>
      </c>
    </row>
    <row r="212" spans="1:57">
      <c r="A212">
        <v>84</v>
      </c>
      <c r="B212" t="s">
        <v>257</v>
      </c>
      <c r="D212" t="s">
        <v>60</v>
      </c>
      <c r="E212" t="s">
        <v>258</v>
      </c>
      <c r="F212" t="s">
        <v>74</v>
      </c>
      <c r="G212">
        <v>185</v>
      </c>
      <c r="H212" t="s">
        <v>63</v>
      </c>
      <c r="I212">
        <v>5</v>
      </c>
      <c r="J212" t="str">
        <f>HYPERLINK("Gene84-zp_tree_all.dnd", "Gene84-tree")</f>
        <v>Gene84-tree</v>
      </c>
      <c r="K212">
        <v>3</v>
      </c>
      <c r="L212">
        <v>2</v>
      </c>
      <c r="M212">
        <v>3</v>
      </c>
      <c r="N212">
        <v>2</v>
      </c>
      <c r="O212">
        <v>0.4</v>
      </c>
      <c r="P212" t="s">
        <v>86</v>
      </c>
      <c r="Q212" t="s">
        <v>124</v>
      </c>
      <c r="R212" t="s">
        <v>66</v>
      </c>
      <c r="S212" t="s">
        <v>66</v>
      </c>
      <c r="T212">
        <v>0</v>
      </c>
      <c r="U212">
        <v>0</v>
      </c>
      <c r="V212">
        <v>5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4</v>
      </c>
      <c r="AG212">
        <v>0</v>
      </c>
      <c r="AH212">
        <v>4</v>
      </c>
      <c r="AI212">
        <v>2</v>
      </c>
      <c r="AJ212">
        <v>6</v>
      </c>
      <c r="AK212">
        <v>4</v>
      </c>
      <c r="AL212">
        <v>20</v>
      </c>
      <c r="AM212">
        <v>1</v>
      </c>
      <c r="AN212" t="s">
        <v>259</v>
      </c>
      <c r="AO212" t="s">
        <v>260</v>
      </c>
      <c r="AP212">
        <v>0.73899999999999999</v>
      </c>
      <c r="AQ212" t="s">
        <v>69</v>
      </c>
      <c r="AR212">
        <v>26</v>
      </c>
      <c r="AS212">
        <v>5</v>
      </c>
      <c r="AT212">
        <v>2.9530000000000001E-2</v>
      </c>
      <c r="AU212">
        <v>-6.0699999999999999E-3</v>
      </c>
      <c r="AV212">
        <v>0.14696000000000001</v>
      </c>
      <c r="AW212">
        <v>-3.288E-2</v>
      </c>
      <c r="AX212">
        <v>5.0099999999999997E-3</v>
      </c>
      <c r="AY212">
        <v>-1.16E-3</v>
      </c>
      <c r="AZ212">
        <v>3.4090000000000002E-2</v>
      </c>
      <c r="BA212">
        <v>1</v>
      </c>
      <c r="BB212" t="s">
        <v>70</v>
      </c>
      <c r="BC212">
        <v>0.98699999999999999</v>
      </c>
      <c r="BD212">
        <v>0.72699999999999998</v>
      </c>
      <c r="BE212" t="s">
        <v>71</v>
      </c>
    </row>
    <row r="213" spans="1:57">
      <c r="A213">
        <v>85</v>
      </c>
      <c r="B213" t="s">
        <v>261</v>
      </c>
      <c r="D213" t="s">
        <v>60</v>
      </c>
      <c r="E213" t="s">
        <v>262</v>
      </c>
      <c r="F213" t="s">
        <v>263</v>
      </c>
      <c r="G213">
        <v>363</v>
      </c>
      <c r="H213" t="s">
        <v>63</v>
      </c>
      <c r="I213">
        <v>5</v>
      </c>
      <c r="J213" t="str">
        <f>HYPERLINK("Gene85-zp_tree_all.dnd", "Gene85-tree")</f>
        <v>Gene85-tree</v>
      </c>
      <c r="K213">
        <v>3</v>
      </c>
      <c r="L213">
        <v>2</v>
      </c>
      <c r="M213">
        <v>3</v>
      </c>
      <c r="N213">
        <v>2</v>
      </c>
      <c r="O213">
        <v>0.4</v>
      </c>
      <c r="P213" t="s">
        <v>86</v>
      </c>
      <c r="Q213" t="s">
        <v>124</v>
      </c>
      <c r="R213" t="s">
        <v>66</v>
      </c>
      <c r="S213" t="s">
        <v>66</v>
      </c>
      <c r="T213">
        <v>0</v>
      </c>
      <c r="U213">
        <v>0</v>
      </c>
      <c r="V213">
        <v>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5</v>
      </c>
      <c r="AG213">
        <v>0</v>
      </c>
      <c r="AH213">
        <v>5</v>
      </c>
      <c r="AI213">
        <v>2</v>
      </c>
      <c r="AJ213">
        <v>36</v>
      </c>
      <c r="AK213">
        <v>2</v>
      </c>
      <c r="AL213">
        <v>31</v>
      </c>
      <c r="AM213">
        <v>4</v>
      </c>
      <c r="AN213" t="s">
        <v>264</v>
      </c>
      <c r="AO213" t="s">
        <v>265</v>
      </c>
      <c r="AP213">
        <v>0.47299999999999998</v>
      </c>
      <c r="AQ213" t="s">
        <v>69</v>
      </c>
      <c r="AR213">
        <v>67</v>
      </c>
      <c r="AS213">
        <v>6</v>
      </c>
      <c r="AT213">
        <v>3.177E-2</v>
      </c>
      <c r="AU213">
        <v>-4.8700000000000002E-3</v>
      </c>
      <c r="AV213">
        <v>0.14835000000000001</v>
      </c>
      <c r="AW213">
        <v>-2.3130000000000001E-2</v>
      </c>
      <c r="AX213">
        <v>3.7799999999999999E-3</v>
      </c>
      <c r="AY213">
        <v>-8.4999999999999995E-4</v>
      </c>
      <c r="AZ213">
        <v>2.546E-2</v>
      </c>
      <c r="BA213">
        <v>1</v>
      </c>
      <c r="BB213" t="s">
        <v>70</v>
      </c>
      <c r="BC213">
        <v>0.57499999999999996</v>
      </c>
      <c r="BD213">
        <v>0.38600000000000001</v>
      </c>
      <c r="BE213" t="s">
        <v>71</v>
      </c>
    </row>
    <row r="214" spans="1:57">
      <c r="A214">
        <v>88</v>
      </c>
      <c r="B214" t="s">
        <v>266</v>
      </c>
      <c r="D214" t="s">
        <v>60</v>
      </c>
      <c r="E214" t="s">
        <v>267</v>
      </c>
      <c r="F214" t="s">
        <v>268</v>
      </c>
      <c r="G214">
        <v>360</v>
      </c>
      <c r="H214" t="s">
        <v>63</v>
      </c>
      <c r="I214">
        <v>5</v>
      </c>
      <c r="J214" t="str">
        <f>HYPERLINK("Gene88-zp_tree_all.dnd", "Gene88-tree")</f>
        <v>Gene88-tree</v>
      </c>
      <c r="K214">
        <v>4</v>
      </c>
      <c r="L214">
        <v>1</v>
      </c>
      <c r="M214">
        <v>4</v>
      </c>
      <c r="N214">
        <v>1</v>
      </c>
      <c r="O214">
        <v>0.2</v>
      </c>
      <c r="P214" t="s">
        <v>64</v>
      </c>
      <c r="Q214" t="s">
        <v>65</v>
      </c>
      <c r="R214" t="s">
        <v>66</v>
      </c>
      <c r="S214" t="s">
        <v>66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2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5</v>
      </c>
      <c r="AI214">
        <v>2</v>
      </c>
      <c r="AJ214">
        <v>26</v>
      </c>
      <c r="AK214">
        <v>1</v>
      </c>
      <c r="AL214">
        <v>33</v>
      </c>
      <c r="AM214">
        <v>1</v>
      </c>
      <c r="AN214" t="s">
        <v>269</v>
      </c>
      <c r="AO214" t="s">
        <v>270</v>
      </c>
      <c r="AP214">
        <v>0.121</v>
      </c>
      <c r="AQ214" t="s">
        <v>69</v>
      </c>
      <c r="AR214">
        <v>59</v>
      </c>
      <c r="AS214">
        <v>2</v>
      </c>
      <c r="AT214">
        <v>2.8330000000000001E-2</v>
      </c>
      <c r="AU214">
        <v>-4.8300000000000001E-3</v>
      </c>
      <c r="AV214">
        <v>0.13439999999999999</v>
      </c>
      <c r="AW214">
        <v>-2.3810000000000001E-2</v>
      </c>
      <c r="AX214">
        <v>1.1999999999999999E-3</v>
      </c>
      <c r="AY214">
        <v>-2.9E-4</v>
      </c>
      <c r="AZ214">
        <v>8.94E-3</v>
      </c>
      <c r="BA214">
        <v>1</v>
      </c>
      <c r="BB214" t="s">
        <v>70</v>
      </c>
      <c r="BC214">
        <v>0.60899999999999999</v>
      </c>
      <c r="BD214">
        <v>0.502</v>
      </c>
      <c r="BE214" t="s">
        <v>71</v>
      </c>
    </row>
    <row r="215" spans="1:57">
      <c r="A215">
        <v>89</v>
      </c>
      <c r="B215" t="s">
        <v>271</v>
      </c>
      <c r="D215" t="s">
        <v>60</v>
      </c>
      <c r="E215" t="s">
        <v>272</v>
      </c>
      <c r="F215" t="s">
        <v>273</v>
      </c>
      <c r="G215">
        <v>366</v>
      </c>
      <c r="H215" t="s">
        <v>63</v>
      </c>
      <c r="I215">
        <v>5</v>
      </c>
      <c r="J215" t="str">
        <f>HYPERLINK("Gene89-zp_tree_all.dnd", "Gene89-tree")</f>
        <v>Gene89-tree</v>
      </c>
      <c r="K215">
        <v>4</v>
      </c>
      <c r="L215">
        <v>1</v>
      </c>
      <c r="M215">
        <v>4</v>
      </c>
      <c r="N215">
        <v>1</v>
      </c>
      <c r="O215">
        <v>0.2</v>
      </c>
      <c r="P215" t="s">
        <v>64</v>
      </c>
      <c r="Q215" t="s">
        <v>65</v>
      </c>
      <c r="R215" t="s">
        <v>66</v>
      </c>
      <c r="S215" t="s">
        <v>66</v>
      </c>
      <c r="T215">
        <v>0</v>
      </c>
      <c r="U215">
        <v>0</v>
      </c>
      <c r="V215">
        <v>2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5</v>
      </c>
      <c r="AI215">
        <v>2</v>
      </c>
      <c r="AJ215">
        <v>19</v>
      </c>
      <c r="AK215">
        <v>1</v>
      </c>
      <c r="AL215">
        <v>27</v>
      </c>
      <c r="AM215">
        <v>1</v>
      </c>
      <c r="AN215" t="s">
        <v>274</v>
      </c>
      <c r="AO215" t="s">
        <v>275</v>
      </c>
      <c r="AP215">
        <v>0.14699999999999999</v>
      </c>
      <c r="AQ215" t="s">
        <v>69</v>
      </c>
      <c r="AR215">
        <v>46</v>
      </c>
      <c r="AS215">
        <v>2</v>
      </c>
      <c r="AT215">
        <v>2.1579999999999998E-2</v>
      </c>
      <c r="AU215">
        <v>-3.81E-3</v>
      </c>
      <c r="AV215">
        <v>9.9849999999999994E-2</v>
      </c>
      <c r="AW215">
        <v>-1.7950000000000001E-2</v>
      </c>
      <c r="AX215">
        <v>1.1800000000000001E-3</v>
      </c>
      <c r="AY215">
        <v>-2.9E-4</v>
      </c>
      <c r="AZ215">
        <v>1.18E-2</v>
      </c>
      <c r="BA215">
        <v>1</v>
      </c>
      <c r="BB215" t="s">
        <v>70</v>
      </c>
      <c r="BC215">
        <v>0.73299999999999998</v>
      </c>
      <c r="BD215">
        <v>0.41899999999999998</v>
      </c>
      <c r="BE215" t="s">
        <v>71</v>
      </c>
    </row>
    <row r="216" spans="1:57">
      <c r="A216">
        <v>92</v>
      </c>
      <c r="B216" t="s">
        <v>276</v>
      </c>
      <c r="D216" t="s">
        <v>60</v>
      </c>
      <c r="E216" t="s">
        <v>277</v>
      </c>
      <c r="F216" t="s">
        <v>278</v>
      </c>
      <c r="G216">
        <v>483</v>
      </c>
      <c r="H216" t="s">
        <v>63</v>
      </c>
      <c r="I216">
        <v>5</v>
      </c>
      <c r="J216" t="str">
        <f>HYPERLINK("Gene92-zp_tree_all.dnd", "Gene92-tree")</f>
        <v>Gene92-tree</v>
      </c>
      <c r="K216">
        <v>2</v>
      </c>
      <c r="L216">
        <v>3</v>
      </c>
      <c r="M216">
        <v>2</v>
      </c>
      <c r="N216">
        <v>3</v>
      </c>
      <c r="O216">
        <v>0.6</v>
      </c>
      <c r="P216" t="s">
        <v>124</v>
      </c>
      <c r="Q216" t="s">
        <v>86</v>
      </c>
      <c r="R216" t="s">
        <v>66</v>
      </c>
      <c r="S216" t="s">
        <v>66</v>
      </c>
      <c r="T216">
        <v>1</v>
      </c>
      <c r="U216">
        <v>2</v>
      </c>
      <c r="V216">
        <v>8</v>
      </c>
      <c r="W216">
        <v>0.2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9</v>
      </c>
      <c r="AG216">
        <v>0</v>
      </c>
      <c r="AH216">
        <v>5</v>
      </c>
      <c r="AI216">
        <v>2</v>
      </c>
      <c r="AJ216">
        <v>48</v>
      </c>
      <c r="AK216">
        <v>7</v>
      </c>
      <c r="AL216">
        <v>40</v>
      </c>
      <c r="AM216">
        <v>4</v>
      </c>
      <c r="AN216" t="s">
        <v>279</v>
      </c>
      <c r="AO216" t="s">
        <v>280</v>
      </c>
      <c r="AP216">
        <v>0.61499999999999999</v>
      </c>
      <c r="AQ216" t="s">
        <v>69</v>
      </c>
      <c r="AR216">
        <v>88</v>
      </c>
      <c r="AS216">
        <v>11</v>
      </c>
      <c r="AT216">
        <v>3.1469999999999998E-2</v>
      </c>
      <c r="AU216">
        <v>-3.9199999999999999E-3</v>
      </c>
      <c r="AV216">
        <v>0.14383000000000001</v>
      </c>
      <c r="AW216">
        <v>-1.9210000000000001E-2</v>
      </c>
      <c r="AX216">
        <v>4.0800000000000003E-3</v>
      </c>
      <c r="AY216">
        <v>-6.6E-4</v>
      </c>
      <c r="AZ216">
        <v>2.8379999999999999E-2</v>
      </c>
      <c r="BA216">
        <v>1</v>
      </c>
      <c r="BB216" t="s">
        <v>70</v>
      </c>
      <c r="BC216">
        <v>0.51200000000000001</v>
      </c>
      <c r="BD216">
        <v>0.33400000000000002</v>
      </c>
      <c r="BE216" t="s">
        <v>71</v>
      </c>
    </row>
    <row r="217" spans="1:57">
      <c r="A217">
        <v>93</v>
      </c>
      <c r="B217" t="s">
        <v>281</v>
      </c>
      <c r="D217" t="s">
        <v>60</v>
      </c>
      <c r="E217" t="s">
        <v>282</v>
      </c>
      <c r="F217" t="s">
        <v>283</v>
      </c>
      <c r="G217">
        <v>217</v>
      </c>
      <c r="H217" t="s">
        <v>63</v>
      </c>
      <c r="I217">
        <v>5</v>
      </c>
      <c r="J217" t="str">
        <f>HYPERLINK("Gene93-zp_tree_all.dnd", "Gene93-tree")</f>
        <v>Gene93-tree</v>
      </c>
      <c r="K217">
        <v>4</v>
      </c>
      <c r="L217">
        <v>1</v>
      </c>
      <c r="M217">
        <v>4</v>
      </c>
      <c r="N217">
        <v>1</v>
      </c>
      <c r="O217">
        <v>0.2</v>
      </c>
      <c r="P217" t="s">
        <v>64</v>
      </c>
      <c r="Q217" t="s">
        <v>65</v>
      </c>
      <c r="R217" t="s">
        <v>66</v>
      </c>
      <c r="S217" t="s">
        <v>66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3</v>
      </c>
      <c r="AI217">
        <v>2</v>
      </c>
      <c r="AJ217">
        <v>8</v>
      </c>
      <c r="AK217">
        <v>1</v>
      </c>
      <c r="AL217">
        <v>13</v>
      </c>
      <c r="AM217">
        <v>0</v>
      </c>
      <c r="AN217" t="s">
        <v>284</v>
      </c>
      <c r="AO217" t="s">
        <v>68</v>
      </c>
      <c r="AP217">
        <v>0.78</v>
      </c>
      <c r="AQ217" t="s">
        <v>69</v>
      </c>
      <c r="AR217">
        <v>21</v>
      </c>
      <c r="AS217">
        <v>1</v>
      </c>
      <c r="AT217">
        <v>1.6590000000000001E-2</v>
      </c>
      <c r="AU217">
        <v>-3.0500000000000002E-3</v>
      </c>
      <c r="AV217">
        <v>7.3370000000000005E-2</v>
      </c>
      <c r="AW217">
        <v>-1.387E-2</v>
      </c>
      <c r="AX217">
        <v>8.0000000000000004E-4</v>
      </c>
      <c r="AY217">
        <v>-3.1E-4</v>
      </c>
      <c r="AZ217">
        <v>1.093E-2</v>
      </c>
      <c r="BA217">
        <v>1</v>
      </c>
      <c r="BB217" t="s">
        <v>70</v>
      </c>
      <c r="BC217">
        <v>0.92400000000000004</v>
      </c>
      <c r="BD217">
        <v>0.154</v>
      </c>
      <c r="BE217" t="s">
        <v>71</v>
      </c>
    </row>
    <row r="218" spans="1:57">
      <c r="A218">
        <v>94</v>
      </c>
      <c r="B218" t="s">
        <v>285</v>
      </c>
      <c r="D218" t="s">
        <v>60</v>
      </c>
      <c r="E218" t="s">
        <v>286</v>
      </c>
      <c r="F218" t="s">
        <v>287</v>
      </c>
      <c r="G218">
        <v>466</v>
      </c>
      <c r="H218" t="s">
        <v>85</v>
      </c>
      <c r="I218">
        <v>4</v>
      </c>
      <c r="J218" t="str">
        <f>HYPERLINK("Gene94-zp_tree_all.dnd", "Gene94-tree")</f>
        <v>Gene94-tree</v>
      </c>
      <c r="K218">
        <v>0</v>
      </c>
      <c r="L218">
        <v>4</v>
      </c>
      <c r="M218">
        <v>0</v>
      </c>
      <c r="N218">
        <v>4</v>
      </c>
      <c r="O218">
        <v>1</v>
      </c>
      <c r="P218" t="s">
        <v>66</v>
      </c>
      <c r="Q218" t="s">
        <v>64</v>
      </c>
      <c r="R218" t="s">
        <v>66</v>
      </c>
      <c r="S218" t="s">
        <v>66</v>
      </c>
      <c r="T218">
        <v>0</v>
      </c>
      <c r="U218">
        <v>0</v>
      </c>
      <c r="V218">
        <v>5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5</v>
      </c>
      <c r="AG218">
        <v>0</v>
      </c>
      <c r="AH218">
        <v>4</v>
      </c>
      <c r="AI218">
        <v>1</v>
      </c>
      <c r="AJ218">
        <v>71</v>
      </c>
      <c r="AK218">
        <v>5</v>
      </c>
      <c r="AL218">
        <v>4</v>
      </c>
      <c r="AM218">
        <v>0</v>
      </c>
      <c r="AN218" t="s">
        <v>288</v>
      </c>
      <c r="AO218" t="s">
        <v>68</v>
      </c>
      <c r="AP218">
        <v>0.94199999999999995</v>
      </c>
      <c r="AQ218" t="s">
        <v>69</v>
      </c>
      <c r="AR218">
        <v>75</v>
      </c>
      <c r="AS218">
        <v>5</v>
      </c>
      <c r="AT218">
        <v>2.8369999999999999E-2</v>
      </c>
      <c r="AU218">
        <v>-8.09E-3</v>
      </c>
      <c r="AV218">
        <v>0.14174</v>
      </c>
      <c r="AW218">
        <v>-4.5159999999999999E-2</v>
      </c>
      <c r="AX218">
        <v>2.2899999999999999E-3</v>
      </c>
      <c r="AY218">
        <v>-1.9000000000000001E-4</v>
      </c>
      <c r="AZ218">
        <v>1.6140000000000002E-2</v>
      </c>
      <c r="BA218">
        <v>1</v>
      </c>
      <c r="BB218" t="s">
        <v>70</v>
      </c>
      <c r="BC218">
        <v>-0.57999999999999996</v>
      </c>
      <c r="BD218">
        <v>-0.82899999999999996</v>
      </c>
      <c r="BE218" t="s">
        <v>71</v>
      </c>
    </row>
    <row r="219" spans="1:57">
      <c r="A219">
        <v>96</v>
      </c>
      <c r="B219" t="s">
        <v>293</v>
      </c>
      <c r="D219" t="s">
        <v>60</v>
      </c>
      <c r="E219" t="s">
        <v>294</v>
      </c>
      <c r="F219" t="s">
        <v>295</v>
      </c>
      <c r="G219">
        <v>249</v>
      </c>
      <c r="H219" t="s">
        <v>63</v>
      </c>
      <c r="I219">
        <v>5</v>
      </c>
      <c r="J219" t="str">
        <f>HYPERLINK("Gene96-zp_tree_all.dnd", "Gene96-tree")</f>
        <v>Gene96-tree</v>
      </c>
      <c r="K219">
        <v>4</v>
      </c>
      <c r="L219">
        <v>1</v>
      </c>
      <c r="M219">
        <v>4</v>
      </c>
      <c r="N219">
        <v>1</v>
      </c>
      <c r="O219">
        <v>0.2</v>
      </c>
      <c r="P219" t="s">
        <v>64</v>
      </c>
      <c r="Q219" t="s">
        <v>65</v>
      </c>
      <c r="R219" t="s">
        <v>66</v>
      </c>
      <c r="S219" t="s">
        <v>66</v>
      </c>
      <c r="T219">
        <v>0</v>
      </c>
      <c r="U219">
        <v>0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2</v>
      </c>
      <c r="AG219">
        <v>0</v>
      </c>
      <c r="AH219">
        <v>5</v>
      </c>
      <c r="AI219">
        <v>2</v>
      </c>
      <c r="AJ219">
        <v>22</v>
      </c>
      <c r="AK219">
        <v>2</v>
      </c>
      <c r="AL219">
        <v>22</v>
      </c>
      <c r="AM219">
        <v>1</v>
      </c>
      <c r="AN219" t="s">
        <v>296</v>
      </c>
      <c r="AO219" t="s">
        <v>297</v>
      </c>
      <c r="AP219">
        <v>0.25700000000000001</v>
      </c>
      <c r="AQ219" t="s">
        <v>69</v>
      </c>
      <c r="AR219">
        <v>44</v>
      </c>
      <c r="AS219">
        <v>3</v>
      </c>
      <c r="AT219">
        <v>3.066E-2</v>
      </c>
      <c r="AU219">
        <v>-5.1999999999999998E-3</v>
      </c>
      <c r="AV219">
        <v>0.13777</v>
      </c>
      <c r="AW219">
        <v>-2.5239999999999999E-2</v>
      </c>
      <c r="AX219">
        <v>2.4599999999999999E-3</v>
      </c>
      <c r="AY219">
        <v>-5.1000000000000004E-4</v>
      </c>
      <c r="AZ219">
        <v>1.7840000000000002E-2</v>
      </c>
      <c r="BA219">
        <v>1</v>
      </c>
      <c r="BB219" t="s">
        <v>70</v>
      </c>
      <c r="BC219">
        <v>0.45300000000000001</v>
      </c>
      <c r="BD219">
        <v>0.27900000000000003</v>
      </c>
      <c r="BE219" t="s">
        <v>71</v>
      </c>
    </row>
    <row r="220" spans="1:57">
      <c r="A220">
        <v>97</v>
      </c>
      <c r="B220" t="s">
        <v>298</v>
      </c>
      <c r="D220" t="s">
        <v>60</v>
      </c>
      <c r="E220" t="s">
        <v>299</v>
      </c>
      <c r="F220" t="s">
        <v>74</v>
      </c>
      <c r="G220">
        <v>170</v>
      </c>
      <c r="H220" t="s">
        <v>63</v>
      </c>
      <c r="I220">
        <v>5</v>
      </c>
      <c r="J220" t="str">
        <f>HYPERLINK("Gene97-zp_tree_all.dnd", "Gene97-tree")</f>
        <v>Gene97-tree</v>
      </c>
      <c r="K220">
        <v>5</v>
      </c>
      <c r="L220">
        <v>0</v>
      </c>
      <c r="M220">
        <v>5</v>
      </c>
      <c r="N220">
        <v>0</v>
      </c>
      <c r="O220">
        <v>0</v>
      </c>
      <c r="P220" t="s">
        <v>96</v>
      </c>
      <c r="Q220" t="s">
        <v>66</v>
      </c>
      <c r="R220" t="s">
        <v>66</v>
      </c>
      <c r="S220" t="s">
        <v>66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5</v>
      </c>
      <c r="AI220">
        <v>2</v>
      </c>
      <c r="AJ220">
        <v>9</v>
      </c>
      <c r="AK220">
        <v>0</v>
      </c>
      <c r="AL220">
        <v>5</v>
      </c>
      <c r="AM220">
        <v>1</v>
      </c>
      <c r="AN220" t="s">
        <v>68</v>
      </c>
      <c r="AO220" t="s">
        <v>300</v>
      </c>
      <c r="AP220">
        <v>1.034</v>
      </c>
      <c r="AQ220" t="s">
        <v>69</v>
      </c>
      <c r="AR220">
        <v>14</v>
      </c>
      <c r="AS220">
        <v>1</v>
      </c>
      <c r="AT220">
        <v>1.3729999999999999E-2</v>
      </c>
      <c r="AU220">
        <v>-1.8600000000000001E-3</v>
      </c>
      <c r="AV220">
        <v>6.0139999999999999E-2</v>
      </c>
      <c r="AW220">
        <v>-7.79E-3</v>
      </c>
      <c r="AX220">
        <v>1.5100000000000001E-3</v>
      </c>
      <c r="AY220">
        <v>-3.6000000000000002E-4</v>
      </c>
      <c r="AZ220">
        <v>2.5080000000000002E-2</v>
      </c>
      <c r="BA220">
        <v>1</v>
      </c>
      <c r="BB220" t="s">
        <v>70</v>
      </c>
      <c r="BC220">
        <v>0.30399999999999999</v>
      </c>
      <c r="BD220">
        <v>0.30399999999999999</v>
      </c>
      <c r="BE220" t="s">
        <v>71</v>
      </c>
    </row>
    <row r="221" spans="1:57">
      <c r="A221">
        <v>98</v>
      </c>
      <c r="B221" t="s">
        <v>301</v>
      </c>
      <c r="D221" t="s">
        <v>60</v>
      </c>
      <c r="E221" t="s">
        <v>302</v>
      </c>
      <c r="F221" t="s">
        <v>303</v>
      </c>
      <c r="G221">
        <v>218</v>
      </c>
      <c r="H221" t="s">
        <v>63</v>
      </c>
      <c r="I221">
        <v>5</v>
      </c>
      <c r="J221" t="str">
        <f>HYPERLINK("Gene98-zp_tree_all.dnd", "Gene98-tree")</f>
        <v>Gene98-tree</v>
      </c>
      <c r="K221">
        <v>4</v>
      </c>
      <c r="L221">
        <v>1</v>
      </c>
      <c r="M221">
        <v>4</v>
      </c>
      <c r="N221">
        <v>1</v>
      </c>
      <c r="O221">
        <v>0.2</v>
      </c>
      <c r="P221" t="s">
        <v>64</v>
      </c>
      <c r="Q221" t="s">
        <v>65</v>
      </c>
      <c r="R221" t="s">
        <v>66</v>
      </c>
      <c r="S221" t="s">
        <v>66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</v>
      </c>
      <c r="AH221">
        <v>5</v>
      </c>
      <c r="AI221">
        <v>1</v>
      </c>
      <c r="AJ221">
        <v>14</v>
      </c>
      <c r="AK221">
        <v>1</v>
      </c>
      <c r="AL221">
        <v>9</v>
      </c>
      <c r="AM221">
        <v>0</v>
      </c>
      <c r="AN221" t="s">
        <v>304</v>
      </c>
      <c r="AO221" t="s">
        <v>68</v>
      </c>
      <c r="AP221">
        <v>0.498</v>
      </c>
      <c r="AQ221" t="s">
        <v>69</v>
      </c>
      <c r="AR221">
        <v>23</v>
      </c>
      <c r="AS221">
        <v>1</v>
      </c>
      <c r="AT221">
        <v>1.7430000000000001E-2</v>
      </c>
      <c r="AU221">
        <v>-2.7399999999999998E-3</v>
      </c>
      <c r="AV221">
        <v>8.5550000000000001E-2</v>
      </c>
      <c r="AW221">
        <v>-1.4449999999999999E-2</v>
      </c>
      <c r="AX221">
        <v>7.7999999999999999E-4</v>
      </c>
      <c r="AY221">
        <v>-2.3000000000000001E-4</v>
      </c>
      <c r="AZ221">
        <v>9.0799999999999995E-3</v>
      </c>
      <c r="BA221">
        <v>1</v>
      </c>
      <c r="BB221" t="s">
        <v>70</v>
      </c>
      <c r="BC221">
        <v>-7.6999999999999999E-2</v>
      </c>
      <c r="BD221">
        <v>-7.6999999999999999E-2</v>
      </c>
      <c r="BE221" t="s">
        <v>71</v>
      </c>
    </row>
    <row r="222" spans="1:57">
      <c r="A222">
        <v>101</v>
      </c>
      <c r="B222" t="s">
        <v>311</v>
      </c>
      <c r="D222" t="s">
        <v>60</v>
      </c>
      <c r="E222" t="s">
        <v>312</v>
      </c>
      <c r="F222" t="s">
        <v>313</v>
      </c>
      <c r="G222">
        <v>177</v>
      </c>
      <c r="H222" t="s">
        <v>63</v>
      </c>
      <c r="I222">
        <v>5</v>
      </c>
      <c r="J222" t="str">
        <f>HYPERLINK("Gene101-zp_tree_all.dnd", "Gene101-tree")</f>
        <v>Gene101-tree</v>
      </c>
      <c r="K222">
        <v>5</v>
      </c>
      <c r="L222">
        <v>0</v>
      </c>
      <c r="M222">
        <v>5</v>
      </c>
      <c r="N222">
        <v>0</v>
      </c>
      <c r="O222">
        <v>0</v>
      </c>
      <c r="P222" t="s">
        <v>96</v>
      </c>
      <c r="Q222" t="s">
        <v>66</v>
      </c>
      <c r="R222" t="s">
        <v>66</v>
      </c>
      <c r="S222" t="s">
        <v>66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4</v>
      </c>
      <c r="AI222">
        <v>2</v>
      </c>
      <c r="AJ222">
        <v>11</v>
      </c>
      <c r="AK222">
        <v>0</v>
      </c>
      <c r="AL222">
        <v>17</v>
      </c>
      <c r="AM222">
        <v>0</v>
      </c>
      <c r="AN222" t="s">
        <v>68</v>
      </c>
      <c r="AO222" t="s">
        <v>68</v>
      </c>
      <c r="AP222">
        <v>0</v>
      </c>
      <c r="AQ222" t="s">
        <v>69</v>
      </c>
      <c r="AR222">
        <v>28</v>
      </c>
      <c r="AS222">
        <v>0</v>
      </c>
      <c r="AT222">
        <v>2.75E-2</v>
      </c>
      <c r="AU222">
        <v>-4.7000000000000002E-3</v>
      </c>
      <c r="AV222">
        <v>0.13971</v>
      </c>
      <c r="AW222">
        <v>-2.5159999999999998E-2</v>
      </c>
      <c r="AX222">
        <v>0</v>
      </c>
      <c r="AY222">
        <v>0</v>
      </c>
      <c r="AZ222">
        <v>0</v>
      </c>
      <c r="BA222">
        <v>1</v>
      </c>
      <c r="BB222" t="s">
        <v>70</v>
      </c>
      <c r="BC222">
        <v>0.64400000000000002</v>
      </c>
      <c r="BD222">
        <v>0.64400000000000002</v>
      </c>
      <c r="BE222" t="s">
        <v>71</v>
      </c>
    </row>
    <row r="223" spans="1:57">
      <c r="A223">
        <v>102</v>
      </c>
      <c r="B223" t="s">
        <v>314</v>
      </c>
      <c r="D223" t="s">
        <v>60</v>
      </c>
      <c r="E223" t="s">
        <v>315</v>
      </c>
      <c r="F223" t="s">
        <v>316</v>
      </c>
      <c r="G223">
        <v>141</v>
      </c>
      <c r="H223" t="s">
        <v>63</v>
      </c>
      <c r="I223">
        <v>5</v>
      </c>
      <c r="J223" t="str">
        <f>HYPERLINK("Gene102-zp_tree_all.dnd", "Gene102-tree")</f>
        <v>Gene102-tree</v>
      </c>
      <c r="K223">
        <v>5</v>
      </c>
      <c r="L223">
        <v>0</v>
      </c>
      <c r="M223">
        <v>4</v>
      </c>
      <c r="N223">
        <v>0</v>
      </c>
      <c r="O223">
        <v>0</v>
      </c>
      <c r="P223" t="s">
        <v>135</v>
      </c>
      <c r="Q223" t="s">
        <v>66</v>
      </c>
      <c r="R223" t="s">
        <v>66</v>
      </c>
      <c r="S223" t="s">
        <v>66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3</v>
      </c>
      <c r="AI223">
        <v>1</v>
      </c>
      <c r="AJ223">
        <v>4</v>
      </c>
      <c r="AK223">
        <v>0</v>
      </c>
      <c r="AL223">
        <v>1</v>
      </c>
      <c r="AM223">
        <v>0</v>
      </c>
      <c r="AN223" t="s">
        <v>68</v>
      </c>
      <c r="AO223" t="s">
        <v>68</v>
      </c>
      <c r="AP223">
        <v>0</v>
      </c>
      <c r="AQ223" t="s">
        <v>69</v>
      </c>
      <c r="AR223">
        <v>5</v>
      </c>
      <c r="AS223">
        <v>0</v>
      </c>
      <c r="AT223">
        <v>6.3E-3</v>
      </c>
      <c r="AU223">
        <v>-9.1E-4</v>
      </c>
      <c r="AV223">
        <v>2.6669999999999999E-2</v>
      </c>
      <c r="AW223">
        <v>-3.8999999999999998E-3</v>
      </c>
      <c r="AX223">
        <v>0</v>
      </c>
      <c r="AY223">
        <v>0</v>
      </c>
      <c r="AZ223">
        <v>0</v>
      </c>
      <c r="BA223">
        <v>1</v>
      </c>
      <c r="BB223" t="s">
        <v>70</v>
      </c>
      <c r="BC223">
        <v>-0.56200000000000006</v>
      </c>
      <c r="BD223">
        <v>-0.56200000000000006</v>
      </c>
      <c r="BE223" t="s">
        <v>71</v>
      </c>
    </row>
    <row r="224" spans="1:57">
      <c r="A224">
        <v>103</v>
      </c>
      <c r="B224" t="s">
        <v>317</v>
      </c>
      <c r="D224" t="s">
        <v>60</v>
      </c>
      <c r="E224" t="s">
        <v>318</v>
      </c>
      <c r="F224" t="s">
        <v>319</v>
      </c>
      <c r="G224">
        <v>232</v>
      </c>
      <c r="H224" t="s">
        <v>63</v>
      </c>
      <c r="I224">
        <v>5</v>
      </c>
      <c r="J224" t="str">
        <f>HYPERLINK("Gene103-zp_tree_all.dnd", "Gene103-tree")</f>
        <v>Gene103-tree</v>
      </c>
      <c r="K224">
        <v>4</v>
      </c>
      <c r="L224">
        <v>1</v>
      </c>
      <c r="M224">
        <v>3</v>
      </c>
      <c r="N224">
        <v>1</v>
      </c>
      <c r="O224">
        <v>0.25</v>
      </c>
      <c r="P224" t="s">
        <v>112</v>
      </c>
      <c r="Q224" t="s">
        <v>65</v>
      </c>
      <c r="R224" t="s">
        <v>66</v>
      </c>
      <c r="S224" t="s">
        <v>66</v>
      </c>
      <c r="T224">
        <v>0</v>
      </c>
      <c r="U224">
        <v>0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4</v>
      </c>
      <c r="AI224">
        <v>1</v>
      </c>
      <c r="AJ224">
        <v>24</v>
      </c>
      <c r="AK224">
        <v>4</v>
      </c>
      <c r="AL224">
        <v>7</v>
      </c>
      <c r="AM224">
        <v>0</v>
      </c>
      <c r="AN224" t="s">
        <v>320</v>
      </c>
      <c r="AO224" t="s">
        <v>68</v>
      </c>
      <c r="AP224">
        <v>0.5</v>
      </c>
      <c r="AQ224" t="s">
        <v>69</v>
      </c>
      <c r="AR224">
        <v>31</v>
      </c>
      <c r="AS224">
        <v>4</v>
      </c>
      <c r="AT224">
        <v>2.562E-2</v>
      </c>
      <c r="AU224">
        <v>-5.0600000000000003E-3</v>
      </c>
      <c r="AV224">
        <v>0.1037</v>
      </c>
      <c r="AW224">
        <v>-1.917E-2</v>
      </c>
      <c r="AX224">
        <v>3.79E-3</v>
      </c>
      <c r="AY224">
        <v>-1.5499999999999999E-3</v>
      </c>
      <c r="AZ224">
        <v>3.6549999999999999E-2</v>
      </c>
      <c r="BA224">
        <v>1</v>
      </c>
      <c r="BB224" t="s">
        <v>70</v>
      </c>
      <c r="BC224">
        <v>-0.127</v>
      </c>
      <c r="BD224">
        <v>-0.85799999999999998</v>
      </c>
      <c r="BE224" t="s">
        <v>71</v>
      </c>
    </row>
    <row r="225" spans="1:57">
      <c r="A225">
        <v>105</v>
      </c>
      <c r="B225" t="s">
        <v>324</v>
      </c>
      <c r="D225" t="s">
        <v>60</v>
      </c>
      <c r="E225" t="s">
        <v>325</v>
      </c>
      <c r="F225" t="s">
        <v>326</v>
      </c>
      <c r="G225">
        <v>123</v>
      </c>
      <c r="H225" t="s">
        <v>63</v>
      </c>
      <c r="I225">
        <v>5</v>
      </c>
      <c r="J225" t="str">
        <f>HYPERLINK("Gene105-zp_tree_all.dnd", "Gene105-tree")</f>
        <v>Gene105-tree</v>
      </c>
      <c r="K225">
        <v>5</v>
      </c>
      <c r="L225">
        <v>0</v>
      </c>
      <c r="M225">
        <v>5</v>
      </c>
      <c r="N225">
        <v>0</v>
      </c>
      <c r="O225">
        <v>0</v>
      </c>
      <c r="P225" t="s">
        <v>96</v>
      </c>
      <c r="Q225" t="s">
        <v>66</v>
      </c>
      <c r="R225" t="s">
        <v>66</v>
      </c>
      <c r="S225" t="s">
        <v>66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3</v>
      </c>
      <c r="AI225">
        <v>2</v>
      </c>
      <c r="AJ225">
        <v>3</v>
      </c>
      <c r="AK225">
        <v>0</v>
      </c>
      <c r="AL225">
        <v>3</v>
      </c>
      <c r="AM225">
        <v>0</v>
      </c>
      <c r="AN225" t="s">
        <v>68</v>
      </c>
      <c r="AO225" t="s">
        <v>68</v>
      </c>
      <c r="AP225">
        <v>0</v>
      </c>
      <c r="AQ225" t="s">
        <v>69</v>
      </c>
      <c r="AR225">
        <v>6</v>
      </c>
      <c r="AS225">
        <v>0</v>
      </c>
      <c r="AT225">
        <v>8.1300000000000001E-3</v>
      </c>
      <c r="AU225">
        <v>-1.2099999999999999E-3</v>
      </c>
      <c r="AV225">
        <v>3.4939999999999999E-2</v>
      </c>
      <c r="AW225">
        <v>-5.3E-3</v>
      </c>
      <c r="AX225">
        <v>0</v>
      </c>
      <c r="AY225">
        <v>0</v>
      </c>
      <c r="AZ225">
        <v>0</v>
      </c>
      <c r="BA225">
        <v>1</v>
      </c>
      <c r="BB225" t="s">
        <v>70</v>
      </c>
      <c r="BC225">
        <v>0.28599999999999998</v>
      </c>
      <c r="BD225">
        <v>0.28599999999999998</v>
      </c>
      <c r="BE225" t="s">
        <v>71</v>
      </c>
    </row>
    <row r="226" spans="1:57">
      <c r="A226">
        <v>106</v>
      </c>
      <c r="B226" t="s">
        <v>327</v>
      </c>
      <c r="D226" t="s">
        <v>60</v>
      </c>
      <c r="E226" t="s">
        <v>328</v>
      </c>
      <c r="F226" t="s">
        <v>74</v>
      </c>
      <c r="G226">
        <v>201</v>
      </c>
      <c r="H226" t="s">
        <v>63</v>
      </c>
      <c r="I226">
        <v>5</v>
      </c>
      <c r="J226" t="str">
        <f>HYPERLINK("Gene106-zp_tree_all.dnd", "Gene106-tree")</f>
        <v>Gene106-tree</v>
      </c>
      <c r="K226">
        <v>1</v>
      </c>
      <c r="L226">
        <v>4</v>
      </c>
      <c r="M226">
        <v>1</v>
      </c>
      <c r="N226">
        <v>4</v>
      </c>
      <c r="O226">
        <v>0.8</v>
      </c>
      <c r="P226" t="s">
        <v>65</v>
      </c>
      <c r="Q226" t="s">
        <v>64</v>
      </c>
      <c r="R226" t="s">
        <v>66</v>
      </c>
      <c r="S226" t="s">
        <v>66</v>
      </c>
      <c r="T226">
        <v>0</v>
      </c>
      <c r="U226">
        <v>0</v>
      </c>
      <c r="V226">
        <v>9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9</v>
      </c>
      <c r="AG226">
        <v>0</v>
      </c>
      <c r="AH226">
        <v>5</v>
      </c>
      <c r="AI226">
        <v>2</v>
      </c>
      <c r="AJ226">
        <v>10</v>
      </c>
      <c r="AK226">
        <v>7</v>
      </c>
      <c r="AL226">
        <v>17</v>
      </c>
      <c r="AM226">
        <v>2</v>
      </c>
      <c r="AN226" t="s">
        <v>329</v>
      </c>
      <c r="AO226" t="s">
        <v>330</v>
      </c>
      <c r="AP226">
        <v>1.99</v>
      </c>
      <c r="AQ226" t="s">
        <v>239</v>
      </c>
      <c r="AR226">
        <v>27</v>
      </c>
      <c r="AS226">
        <v>9</v>
      </c>
      <c r="AT226">
        <v>2.9350000000000001E-2</v>
      </c>
      <c r="AU226">
        <v>-3.9100000000000003E-3</v>
      </c>
      <c r="AV226">
        <v>0.11446000000000001</v>
      </c>
      <c r="AW226">
        <v>-1.8870000000000001E-2</v>
      </c>
      <c r="AX226">
        <v>8.5400000000000007E-3</v>
      </c>
      <c r="AY226">
        <v>-9.1E-4</v>
      </c>
      <c r="AZ226">
        <v>7.46E-2</v>
      </c>
      <c r="BA226">
        <v>1</v>
      </c>
      <c r="BB226" t="s">
        <v>70</v>
      </c>
      <c r="BC226">
        <v>0.63400000000000001</v>
      </c>
      <c r="BD226">
        <v>0.40400000000000003</v>
      </c>
      <c r="BE226" t="s">
        <v>71</v>
      </c>
    </row>
    <row r="227" spans="1:57">
      <c r="A227">
        <v>107</v>
      </c>
      <c r="B227" t="s">
        <v>331</v>
      </c>
      <c r="D227" t="s">
        <v>60</v>
      </c>
      <c r="E227" t="s">
        <v>332</v>
      </c>
      <c r="F227" t="s">
        <v>333</v>
      </c>
      <c r="G227">
        <v>1193</v>
      </c>
      <c r="H227" t="s">
        <v>63</v>
      </c>
      <c r="I227">
        <v>5</v>
      </c>
      <c r="J227" t="str">
        <f>HYPERLINK("Gene107-zp_tree_all.dnd", "Gene107-tree")</f>
        <v>Gene107-tree</v>
      </c>
      <c r="K227">
        <v>4</v>
      </c>
      <c r="L227">
        <v>1</v>
      </c>
      <c r="M227">
        <v>4</v>
      </c>
      <c r="N227">
        <v>1</v>
      </c>
      <c r="O227">
        <v>0.2</v>
      </c>
      <c r="P227" t="s">
        <v>64</v>
      </c>
      <c r="Q227" t="s">
        <v>65</v>
      </c>
      <c r="R227" t="s">
        <v>66</v>
      </c>
      <c r="S227" t="s">
        <v>66</v>
      </c>
      <c r="T227">
        <v>0</v>
      </c>
      <c r="U227">
        <v>0</v>
      </c>
      <c r="V227">
        <v>3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2</v>
      </c>
      <c r="AG227">
        <v>0</v>
      </c>
      <c r="AH227">
        <v>5</v>
      </c>
      <c r="AI227">
        <v>2</v>
      </c>
      <c r="AJ227">
        <v>77</v>
      </c>
      <c r="AK227">
        <v>2</v>
      </c>
      <c r="AL227">
        <v>59</v>
      </c>
      <c r="AM227">
        <v>1</v>
      </c>
      <c r="AN227" t="s">
        <v>334</v>
      </c>
      <c r="AO227" t="s">
        <v>335</v>
      </c>
      <c r="AP227">
        <v>0.17699999999999999</v>
      </c>
      <c r="AQ227" t="s">
        <v>69</v>
      </c>
      <c r="AR227">
        <v>136</v>
      </c>
      <c r="AS227">
        <v>3</v>
      </c>
      <c r="AT227">
        <v>1.8249999999999999E-2</v>
      </c>
      <c r="AU227">
        <v>-2.7299999999999998E-3</v>
      </c>
      <c r="AV227">
        <v>8.0949999999999994E-2</v>
      </c>
      <c r="AW227">
        <v>-1.238E-2</v>
      </c>
      <c r="AX227">
        <v>5.1000000000000004E-4</v>
      </c>
      <c r="AY227">
        <v>-1.3999999999999999E-4</v>
      </c>
      <c r="AZ227">
        <v>6.3200000000000001E-3</v>
      </c>
      <c r="BA227">
        <v>1</v>
      </c>
      <c r="BB227" t="s">
        <v>70</v>
      </c>
      <c r="BC227">
        <v>0.35399999999999998</v>
      </c>
      <c r="BD227">
        <v>7.2999999999999995E-2</v>
      </c>
      <c r="BE227" t="s">
        <v>71</v>
      </c>
    </row>
    <row r="228" spans="1:57">
      <c r="A228">
        <v>108</v>
      </c>
      <c r="B228" t="s">
        <v>336</v>
      </c>
      <c r="D228" t="s">
        <v>60</v>
      </c>
      <c r="E228" t="s">
        <v>337</v>
      </c>
      <c r="F228" t="s">
        <v>338</v>
      </c>
      <c r="G228">
        <v>1199</v>
      </c>
      <c r="H228" t="s">
        <v>63</v>
      </c>
      <c r="I228">
        <v>5</v>
      </c>
      <c r="J228" t="str">
        <f>HYPERLINK("Gene108-zp_tree_all.dnd", "Gene108-tree")</f>
        <v>Gene108-tree</v>
      </c>
      <c r="K228">
        <v>4</v>
      </c>
      <c r="L228">
        <v>1</v>
      </c>
      <c r="M228">
        <v>4</v>
      </c>
      <c r="N228">
        <v>1</v>
      </c>
      <c r="O228">
        <v>0.2</v>
      </c>
      <c r="P228" t="s">
        <v>64</v>
      </c>
      <c r="Q228" t="s">
        <v>65</v>
      </c>
      <c r="R228" t="s">
        <v>66</v>
      </c>
      <c r="S228" t="s">
        <v>66</v>
      </c>
      <c r="T228">
        <v>0</v>
      </c>
      <c r="U228">
        <v>0</v>
      </c>
      <c r="V228">
        <v>3</v>
      </c>
      <c r="W228">
        <v>0</v>
      </c>
      <c r="X228">
        <v>0</v>
      </c>
      <c r="Y228">
        <v>0</v>
      </c>
      <c r="Z228">
        <v>0</v>
      </c>
      <c r="AA228">
        <v>2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5</v>
      </c>
      <c r="AI228">
        <v>2</v>
      </c>
      <c r="AJ228">
        <v>62</v>
      </c>
      <c r="AK228">
        <v>1</v>
      </c>
      <c r="AL228">
        <v>67</v>
      </c>
      <c r="AM228">
        <v>2</v>
      </c>
      <c r="AN228" t="s">
        <v>339</v>
      </c>
      <c r="AO228" t="s">
        <v>340</v>
      </c>
      <c r="AP228">
        <v>0.27400000000000002</v>
      </c>
      <c r="AQ228" t="s">
        <v>69</v>
      </c>
      <c r="AR228">
        <v>129</v>
      </c>
      <c r="AS228">
        <v>3</v>
      </c>
      <c r="AT228">
        <v>1.7950000000000001E-2</v>
      </c>
      <c r="AU228">
        <v>-2.9199999999999999E-3</v>
      </c>
      <c r="AV228">
        <v>7.8780000000000003E-2</v>
      </c>
      <c r="AW228">
        <v>-1.3050000000000001E-2</v>
      </c>
      <c r="AX228">
        <v>5.8E-4</v>
      </c>
      <c r="AY228">
        <v>-1.3999999999999999E-4</v>
      </c>
      <c r="AZ228">
        <v>7.4099999999999999E-3</v>
      </c>
      <c r="BA228">
        <v>1</v>
      </c>
      <c r="BB228" t="s">
        <v>70</v>
      </c>
      <c r="BC228">
        <v>0.57099999999999995</v>
      </c>
      <c r="BD228">
        <v>0.45700000000000002</v>
      </c>
      <c r="BE228" t="s">
        <v>71</v>
      </c>
    </row>
    <row r="229" spans="1:57">
      <c r="A229">
        <v>109</v>
      </c>
      <c r="B229" t="s">
        <v>341</v>
      </c>
      <c r="D229" t="s">
        <v>60</v>
      </c>
      <c r="E229" t="s">
        <v>342</v>
      </c>
      <c r="F229" t="s">
        <v>343</v>
      </c>
      <c r="G229">
        <v>82</v>
      </c>
      <c r="H229" t="s">
        <v>63</v>
      </c>
      <c r="I229">
        <v>5</v>
      </c>
      <c r="J229" t="str">
        <f>HYPERLINK("Gene109-zp_tree_all.dnd", "Gene109-tree")</f>
        <v>Gene109-tree</v>
      </c>
      <c r="K229">
        <v>5</v>
      </c>
      <c r="L229">
        <v>0</v>
      </c>
      <c r="M229">
        <v>4</v>
      </c>
      <c r="N229">
        <v>0</v>
      </c>
      <c r="O229">
        <v>0</v>
      </c>
      <c r="P229" t="s">
        <v>135</v>
      </c>
      <c r="Q229" t="s">
        <v>66</v>
      </c>
      <c r="R229" t="s">
        <v>66</v>
      </c>
      <c r="S229" t="s">
        <v>66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3</v>
      </c>
      <c r="AI229">
        <v>1</v>
      </c>
      <c r="AJ229">
        <v>3</v>
      </c>
      <c r="AK229">
        <v>0</v>
      </c>
      <c r="AL229">
        <v>1</v>
      </c>
      <c r="AM229">
        <v>0</v>
      </c>
      <c r="AN229" t="s">
        <v>68</v>
      </c>
      <c r="AO229" t="s">
        <v>68</v>
      </c>
      <c r="AP229">
        <v>0</v>
      </c>
      <c r="AQ229" t="s">
        <v>69</v>
      </c>
      <c r="AR229">
        <v>4</v>
      </c>
      <c r="AS229">
        <v>0</v>
      </c>
      <c r="AT229">
        <v>8.8100000000000001E-3</v>
      </c>
      <c r="AU229">
        <v>-1.14E-3</v>
      </c>
      <c r="AV229">
        <v>3.6479999999999999E-2</v>
      </c>
      <c r="AW229">
        <v>-4.8199999999999996E-3</v>
      </c>
      <c r="AX229">
        <v>0</v>
      </c>
      <c r="AY229">
        <v>0</v>
      </c>
      <c r="AZ229">
        <v>0</v>
      </c>
      <c r="BA229">
        <v>1</v>
      </c>
      <c r="BB229" t="s">
        <v>70</v>
      </c>
      <c r="BC229">
        <v>-0.41</v>
      </c>
      <c r="BD229">
        <v>-0.41</v>
      </c>
      <c r="BE229" t="s">
        <v>71</v>
      </c>
    </row>
    <row r="230" spans="1:57">
      <c r="A230">
        <v>110</v>
      </c>
      <c r="B230" t="s">
        <v>344</v>
      </c>
      <c r="D230" t="s">
        <v>60</v>
      </c>
      <c r="E230" t="s">
        <v>345</v>
      </c>
      <c r="F230" t="s">
        <v>346</v>
      </c>
      <c r="G230">
        <v>138</v>
      </c>
      <c r="H230" t="s">
        <v>63</v>
      </c>
      <c r="I230">
        <v>5</v>
      </c>
      <c r="J230" t="str">
        <f>HYPERLINK("Gene110-zp_tree_all.dnd", "Gene110-tree")</f>
        <v>Gene110-tree</v>
      </c>
      <c r="K230">
        <v>4</v>
      </c>
      <c r="L230">
        <v>1</v>
      </c>
      <c r="M230">
        <v>3</v>
      </c>
      <c r="N230">
        <v>1</v>
      </c>
      <c r="O230">
        <v>0.25</v>
      </c>
      <c r="P230" t="s">
        <v>112</v>
      </c>
      <c r="Q230" t="s">
        <v>65</v>
      </c>
      <c r="R230" t="s">
        <v>66</v>
      </c>
      <c r="S230" t="s">
        <v>66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3</v>
      </c>
      <c r="AI230">
        <v>1</v>
      </c>
      <c r="AJ230">
        <v>2</v>
      </c>
      <c r="AK230">
        <v>1</v>
      </c>
      <c r="AL230">
        <v>3</v>
      </c>
      <c r="AM230">
        <v>0</v>
      </c>
      <c r="AN230" t="s">
        <v>347</v>
      </c>
      <c r="AO230" t="s">
        <v>68</v>
      </c>
      <c r="AP230">
        <v>0.69299999999999995</v>
      </c>
      <c r="AQ230" t="s">
        <v>69</v>
      </c>
      <c r="AR230">
        <v>5</v>
      </c>
      <c r="AS230">
        <v>1</v>
      </c>
      <c r="AT230">
        <v>8.4499999999999992E-3</v>
      </c>
      <c r="AU230">
        <v>-1.48E-3</v>
      </c>
      <c r="AV230">
        <v>2.964E-2</v>
      </c>
      <c r="AW230">
        <v>-6.2399999999999999E-3</v>
      </c>
      <c r="AX230">
        <v>1.6199999999999999E-3</v>
      </c>
      <c r="AY230">
        <v>-5.9999999999999995E-4</v>
      </c>
      <c r="AZ230">
        <v>5.4480000000000001E-2</v>
      </c>
      <c r="BA230">
        <v>1</v>
      </c>
      <c r="BB230" t="s">
        <v>70</v>
      </c>
      <c r="BC230">
        <v>0.28599999999999998</v>
      </c>
      <c r="BD230">
        <v>0.28599999999999998</v>
      </c>
      <c r="BE230" t="s">
        <v>71</v>
      </c>
    </row>
    <row r="231" spans="1:57">
      <c r="A231">
        <v>111</v>
      </c>
      <c r="B231" t="s">
        <v>348</v>
      </c>
      <c r="D231" t="s">
        <v>60</v>
      </c>
      <c r="E231" t="s">
        <v>349</v>
      </c>
      <c r="F231" t="s">
        <v>350</v>
      </c>
      <c r="G231">
        <v>156</v>
      </c>
      <c r="H231" t="s">
        <v>63</v>
      </c>
      <c r="I231">
        <v>5</v>
      </c>
      <c r="J231" t="str">
        <f>HYPERLINK("Gene111-zp_tree_all.dnd", "Gene111-tree")</f>
        <v>Gene111-tree</v>
      </c>
      <c r="K231">
        <v>5</v>
      </c>
      <c r="L231">
        <v>0</v>
      </c>
      <c r="M231">
        <v>4</v>
      </c>
      <c r="N231">
        <v>0</v>
      </c>
      <c r="O231">
        <v>0</v>
      </c>
      <c r="P231" t="s">
        <v>135</v>
      </c>
      <c r="Q231" t="s">
        <v>66</v>
      </c>
      <c r="R231" t="s">
        <v>66</v>
      </c>
      <c r="S231" t="s">
        <v>66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3</v>
      </c>
      <c r="AI231">
        <v>1</v>
      </c>
      <c r="AJ231">
        <v>5</v>
      </c>
      <c r="AK231">
        <v>0</v>
      </c>
      <c r="AL231">
        <v>5</v>
      </c>
      <c r="AM231">
        <v>0</v>
      </c>
      <c r="AN231" t="s">
        <v>68</v>
      </c>
      <c r="AO231" t="s">
        <v>68</v>
      </c>
      <c r="AP231">
        <v>0</v>
      </c>
      <c r="AQ231" t="s">
        <v>69</v>
      </c>
      <c r="AR231">
        <v>10</v>
      </c>
      <c r="AS231">
        <v>0</v>
      </c>
      <c r="AT231">
        <v>1.2460000000000001E-2</v>
      </c>
      <c r="AU231">
        <v>-2.2200000000000002E-3</v>
      </c>
      <c r="AV231">
        <v>5.6669999999999998E-2</v>
      </c>
      <c r="AW231">
        <v>-1.034E-2</v>
      </c>
      <c r="AX231">
        <v>0</v>
      </c>
      <c r="AY231">
        <v>0</v>
      </c>
      <c r="AZ231">
        <v>0</v>
      </c>
      <c r="BA231">
        <v>1</v>
      </c>
      <c r="BB231" t="s">
        <v>70</v>
      </c>
      <c r="BC231">
        <v>0.89400000000000002</v>
      </c>
      <c r="BD231">
        <v>0.89400000000000002</v>
      </c>
      <c r="BE231" t="s">
        <v>71</v>
      </c>
    </row>
    <row r="232" spans="1:57">
      <c r="A232">
        <v>112</v>
      </c>
      <c r="B232" t="s">
        <v>351</v>
      </c>
      <c r="D232" t="s">
        <v>60</v>
      </c>
      <c r="E232" t="s">
        <v>352</v>
      </c>
      <c r="F232" t="s">
        <v>353</v>
      </c>
      <c r="G232">
        <v>692</v>
      </c>
      <c r="H232" t="s">
        <v>63</v>
      </c>
      <c r="I232">
        <v>5</v>
      </c>
      <c r="J232" t="str">
        <f>HYPERLINK("Gene112-zp_tree_all.dnd", "Gene112-tree")</f>
        <v>Gene112-tree</v>
      </c>
      <c r="K232">
        <v>4</v>
      </c>
      <c r="L232">
        <v>1</v>
      </c>
      <c r="M232">
        <v>4</v>
      </c>
      <c r="N232">
        <v>1</v>
      </c>
      <c r="O232">
        <v>0.2</v>
      </c>
      <c r="P232" t="s">
        <v>64</v>
      </c>
      <c r="Q232" t="s">
        <v>65</v>
      </c>
      <c r="R232" t="s">
        <v>66</v>
      </c>
      <c r="S232" t="s">
        <v>66</v>
      </c>
      <c r="T232">
        <v>0</v>
      </c>
      <c r="U232">
        <v>0</v>
      </c>
      <c r="V232">
        <v>5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4</v>
      </c>
      <c r="AI232">
        <v>2</v>
      </c>
      <c r="AJ232">
        <v>30</v>
      </c>
      <c r="AK232">
        <v>1</v>
      </c>
      <c r="AL232">
        <v>30</v>
      </c>
      <c r="AM232">
        <v>5</v>
      </c>
      <c r="AN232" t="s">
        <v>354</v>
      </c>
      <c r="AO232" t="s">
        <v>355</v>
      </c>
      <c r="AP232">
        <v>0.72299999999999998</v>
      </c>
      <c r="AQ232" t="s">
        <v>69</v>
      </c>
      <c r="AR232">
        <v>60</v>
      </c>
      <c r="AS232">
        <v>6</v>
      </c>
      <c r="AT232">
        <v>1.5939999999999999E-2</v>
      </c>
      <c r="AU232">
        <v>-3.0599999999999998E-3</v>
      </c>
      <c r="AV232">
        <v>6.497E-2</v>
      </c>
      <c r="AW232">
        <v>-1.2359999999999999E-2</v>
      </c>
      <c r="AX232">
        <v>2.14E-3</v>
      </c>
      <c r="AY232">
        <v>-5.1999999999999995E-4</v>
      </c>
      <c r="AZ232">
        <v>3.2960000000000003E-2</v>
      </c>
      <c r="BA232">
        <v>1</v>
      </c>
      <c r="BB232" t="s">
        <v>70</v>
      </c>
      <c r="BC232">
        <v>0.46100000000000002</v>
      </c>
      <c r="BD232">
        <v>0.34</v>
      </c>
      <c r="BE232" t="s">
        <v>71</v>
      </c>
    </row>
    <row r="233" spans="1:57">
      <c r="A233">
        <v>113</v>
      </c>
      <c r="B233" t="s">
        <v>356</v>
      </c>
      <c r="D233" t="s">
        <v>60</v>
      </c>
      <c r="E233" t="s">
        <v>357</v>
      </c>
      <c r="F233" t="s">
        <v>358</v>
      </c>
      <c r="G233">
        <v>396</v>
      </c>
      <c r="H233" t="s">
        <v>63</v>
      </c>
      <c r="I233">
        <v>5</v>
      </c>
      <c r="J233" t="str">
        <f>HYPERLINK("Gene113-zp_tree_all.dnd", "Gene113-tree")</f>
        <v>Gene113-tree</v>
      </c>
      <c r="K233">
        <v>4</v>
      </c>
      <c r="L233">
        <v>1</v>
      </c>
      <c r="M233">
        <v>4</v>
      </c>
      <c r="N233">
        <v>1</v>
      </c>
      <c r="O233">
        <v>0.2</v>
      </c>
      <c r="P233" t="s">
        <v>64</v>
      </c>
      <c r="Q233" t="s">
        <v>65</v>
      </c>
      <c r="R233" t="s">
        <v>66</v>
      </c>
      <c r="S233" t="s">
        <v>66</v>
      </c>
      <c r="T233">
        <v>0</v>
      </c>
      <c r="U233">
        <v>0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3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4</v>
      </c>
      <c r="AI233">
        <v>1</v>
      </c>
      <c r="AJ233">
        <v>8</v>
      </c>
      <c r="AK233">
        <v>1</v>
      </c>
      <c r="AL233">
        <v>10</v>
      </c>
      <c r="AM233">
        <v>4</v>
      </c>
      <c r="AN233" t="s">
        <v>359</v>
      </c>
      <c r="AO233" t="s">
        <v>360</v>
      </c>
      <c r="AP233">
        <v>1.1879999999999999</v>
      </c>
      <c r="AQ233" t="s">
        <v>69</v>
      </c>
      <c r="AR233">
        <v>18</v>
      </c>
      <c r="AS233">
        <v>5</v>
      </c>
      <c r="AT233">
        <v>1.01E-2</v>
      </c>
      <c r="AU233">
        <v>-2.0600000000000002E-3</v>
      </c>
      <c r="AV233">
        <v>3.3599999999999998E-2</v>
      </c>
      <c r="AW233">
        <v>-6.9199999999999999E-3</v>
      </c>
      <c r="AX233">
        <v>3.0999999999999999E-3</v>
      </c>
      <c r="AY233">
        <v>-5.9999999999999995E-4</v>
      </c>
      <c r="AZ233">
        <v>9.2310000000000003E-2</v>
      </c>
      <c r="BA233">
        <v>1</v>
      </c>
      <c r="BB233" t="s">
        <v>70</v>
      </c>
      <c r="BC233">
        <v>0.64600000000000002</v>
      </c>
      <c r="BD233">
        <v>0.64600000000000002</v>
      </c>
      <c r="BE233" t="s">
        <v>71</v>
      </c>
    </row>
    <row r="234" spans="1:57">
      <c r="A234">
        <v>116</v>
      </c>
      <c r="B234" t="s">
        <v>364</v>
      </c>
      <c r="D234" t="s">
        <v>60</v>
      </c>
      <c r="E234" t="s">
        <v>365</v>
      </c>
      <c r="F234" t="s">
        <v>366</v>
      </c>
      <c r="G234">
        <v>209</v>
      </c>
      <c r="H234" t="s">
        <v>63</v>
      </c>
      <c r="I234">
        <v>5</v>
      </c>
      <c r="J234" t="str">
        <f>HYPERLINK("Gene116-zp_tree_all.dnd", "Gene116-tree")</f>
        <v>Gene116-tree</v>
      </c>
      <c r="K234">
        <v>3</v>
      </c>
      <c r="L234">
        <v>2</v>
      </c>
      <c r="M234">
        <v>3</v>
      </c>
      <c r="N234">
        <v>1</v>
      </c>
      <c r="O234">
        <v>0.25</v>
      </c>
      <c r="P234" t="s">
        <v>86</v>
      </c>
      <c r="Q234" t="s">
        <v>65</v>
      </c>
      <c r="R234" t="s">
        <v>66</v>
      </c>
      <c r="S234" t="s">
        <v>66</v>
      </c>
      <c r="T234">
        <v>0</v>
      </c>
      <c r="U234">
        <v>0</v>
      </c>
      <c r="V234">
        <v>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2</v>
      </c>
      <c r="AG234">
        <v>0</v>
      </c>
      <c r="AH234">
        <v>3</v>
      </c>
      <c r="AI234">
        <v>1</v>
      </c>
      <c r="AJ234">
        <v>4</v>
      </c>
      <c r="AK234">
        <v>2</v>
      </c>
      <c r="AL234">
        <v>1</v>
      </c>
      <c r="AM234">
        <v>0</v>
      </c>
      <c r="AN234" t="s">
        <v>367</v>
      </c>
      <c r="AO234" t="s">
        <v>68</v>
      </c>
      <c r="AP234">
        <v>0.81399999999999995</v>
      </c>
      <c r="AQ234" t="s">
        <v>69</v>
      </c>
      <c r="AR234">
        <v>5</v>
      </c>
      <c r="AS234">
        <v>2</v>
      </c>
      <c r="AT234">
        <v>5.8500000000000002E-3</v>
      </c>
      <c r="AU234">
        <v>-8.8999999999999995E-4</v>
      </c>
      <c r="AV234">
        <v>1.8429999999999998E-2</v>
      </c>
      <c r="AW234">
        <v>-2.7000000000000001E-3</v>
      </c>
      <c r="AX234">
        <v>2.0899999999999998E-3</v>
      </c>
      <c r="AY234">
        <v>-7.7999999999999999E-4</v>
      </c>
      <c r="AZ234">
        <v>0.11325</v>
      </c>
      <c r="BA234">
        <v>0.96599999999999997</v>
      </c>
      <c r="BB234" t="s">
        <v>70</v>
      </c>
      <c r="BC234">
        <v>0.498</v>
      </c>
      <c r="BD234">
        <v>0.498</v>
      </c>
      <c r="BE234" t="s">
        <v>71</v>
      </c>
    </row>
    <row r="235" spans="1:57">
      <c r="A235">
        <v>117</v>
      </c>
      <c r="B235" t="s">
        <v>368</v>
      </c>
      <c r="D235" t="s">
        <v>60</v>
      </c>
      <c r="E235" t="s">
        <v>369</v>
      </c>
      <c r="F235" t="s">
        <v>370</v>
      </c>
      <c r="G235">
        <v>207</v>
      </c>
      <c r="H235" t="s">
        <v>63</v>
      </c>
      <c r="I235">
        <v>5</v>
      </c>
      <c r="J235" t="str">
        <f>HYPERLINK("Gene117-zp_tree_all.dnd", "Gene117-tree")</f>
        <v>Gene117-tree</v>
      </c>
      <c r="K235">
        <v>5</v>
      </c>
      <c r="L235">
        <v>0</v>
      </c>
      <c r="M235">
        <v>5</v>
      </c>
      <c r="N235">
        <v>0</v>
      </c>
      <c r="O235">
        <v>0</v>
      </c>
      <c r="P235" t="s">
        <v>96</v>
      </c>
      <c r="Q235" t="s">
        <v>66</v>
      </c>
      <c r="R235" t="s">
        <v>66</v>
      </c>
      <c r="S235" t="s">
        <v>66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3</v>
      </c>
      <c r="AI235">
        <v>2</v>
      </c>
      <c r="AJ235">
        <v>4</v>
      </c>
      <c r="AK235">
        <v>0</v>
      </c>
      <c r="AL235">
        <v>8</v>
      </c>
      <c r="AM235">
        <v>1</v>
      </c>
      <c r="AN235" t="s">
        <v>68</v>
      </c>
      <c r="AO235" t="s">
        <v>371</v>
      </c>
      <c r="AP235">
        <v>0.9</v>
      </c>
      <c r="AQ235" t="s">
        <v>69</v>
      </c>
      <c r="AR235">
        <v>12</v>
      </c>
      <c r="AS235">
        <v>1</v>
      </c>
      <c r="AT235">
        <v>1.1270000000000001E-2</v>
      </c>
      <c r="AU235">
        <v>-2.2300000000000002E-3</v>
      </c>
      <c r="AV235">
        <v>4.376E-2</v>
      </c>
      <c r="AW235">
        <v>-8.5400000000000007E-3</v>
      </c>
      <c r="AX235">
        <v>1.2800000000000001E-3</v>
      </c>
      <c r="AY235">
        <v>-3.1E-4</v>
      </c>
      <c r="AZ235">
        <v>2.929E-2</v>
      </c>
      <c r="BA235">
        <v>1</v>
      </c>
      <c r="BB235" t="s">
        <v>70</v>
      </c>
      <c r="BC235">
        <v>0.88500000000000001</v>
      </c>
      <c r="BD235">
        <v>0.88500000000000001</v>
      </c>
      <c r="BE235" t="s">
        <v>71</v>
      </c>
    </row>
    <row r="236" spans="1:57">
      <c r="A236">
        <v>118</v>
      </c>
      <c r="B236" t="s">
        <v>372</v>
      </c>
      <c r="D236" t="s">
        <v>60</v>
      </c>
      <c r="E236" t="s">
        <v>373</v>
      </c>
      <c r="F236" t="s">
        <v>374</v>
      </c>
      <c r="G236">
        <v>95</v>
      </c>
      <c r="H236" t="s">
        <v>63</v>
      </c>
      <c r="I236">
        <v>5</v>
      </c>
      <c r="J236" t="str">
        <f>HYPERLINK("Gene118-zp_tree_all.dnd", "Gene118-tree")</f>
        <v>Gene118-tree</v>
      </c>
      <c r="K236">
        <v>5</v>
      </c>
      <c r="L236">
        <v>0</v>
      </c>
      <c r="M236">
        <v>4</v>
      </c>
      <c r="N236">
        <v>0</v>
      </c>
      <c r="O236">
        <v>0</v>
      </c>
      <c r="P236" t="s">
        <v>135</v>
      </c>
      <c r="Q236" t="s">
        <v>66</v>
      </c>
      <c r="R236" t="s">
        <v>66</v>
      </c>
      <c r="S236" t="s">
        <v>66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2</v>
      </c>
      <c r="AI236">
        <v>1</v>
      </c>
      <c r="AJ236">
        <v>4</v>
      </c>
      <c r="AK236">
        <v>0</v>
      </c>
      <c r="AL236">
        <v>0</v>
      </c>
      <c r="AM236">
        <v>1</v>
      </c>
      <c r="AN236" t="s">
        <v>68</v>
      </c>
      <c r="AO236" t="s">
        <v>68</v>
      </c>
      <c r="AP236">
        <v>0</v>
      </c>
      <c r="AQ236" t="s">
        <v>69</v>
      </c>
      <c r="AR236">
        <v>4</v>
      </c>
      <c r="AS236">
        <v>1</v>
      </c>
      <c r="AT236">
        <v>9.3600000000000003E-3</v>
      </c>
      <c r="AU236">
        <v>-2.14E-3</v>
      </c>
      <c r="AV236">
        <v>3.2800000000000003E-2</v>
      </c>
      <c r="AW236">
        <v>-9.5700000000000004E-3</v>
      </c>
      <c r="AX236">
        <v>3.0100000000000001E-3</v>
      </c>
      <c r="AY236">
        <v>-7.1000000000000002E-4</v>
      </c>
      <c r="AZ236">
        <v>9.1819999999999999E-2</v>
      </c>
      <c r="BA236">
        <v>0.97499999999999998</v>
      </c>
      <c r="BB236" t="s">
        <v>70</v>
      </c>
      <c r="BC236">
        <v>1.1240000000000001</v>
      </c>
      <c r="BD236">
        <v>1.1240000000000001</v>
      </c>
      <c r="BE236" t="s">
        <v>71</v>
      </c>
    </row>
    <row r="237" spans="1:57">
      <c r="A237">
        <v>119</v>
      </c>
      <c r="B237" t="s">
        <v>375</v>
      </c>
      <c r="D237" t="s">
        <v>60</v>
      </c>
      <c r="E237" t="s">
        <v>376</v>
      </c>
      <c r="F237" t="s">
        <v>377</v>
      </c>
      <c r="G237">
        <v>277</v>
      </c>
      <c r="H237" t="s">
        <v>63</v>
      </c>
      <c r="I237">
        <v>5</v>
      </c>
      <c r="J237" t="str">
        <f>HYPERLINK("Gene119-zp_tree_all.dnd", "Gene119-tree")</f>
        <v>Gene119-tree</v>
      </c>
      <c r="K237">
        <v>5</v>
      </c>
      <c r="L237">
        <v>0</v>
      </c>
      <c r="M237">
        <v>4</v>
      </c>
      <c r="N237">
        <v>0</v>
      </c>
      <c r="O237">
        <v>0</v>
      </c>
      <c r="P237" t="s">
        <v>135</v>
      </c>
      <c r="Q237" t="s">
        <v>66</v>
      </c>
      <c r="R237" t="s">
        <v>66</v>
      </c>
      <c r="S237" t="s">
        <v>66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3</v>
      </c>
      <c r="AI237">
        <v>1</v>
      </c>
      <c r="AJ237">
        <v>5</v>
      </c>
      <c r="AK237">
        <v>0</v>
      </c>
      <c r="AL237">
        <v>8</v>
      </c>
      <c r="AM237">
        <v>0</v>
      </c>
      <c r="AN237" t="s">
        <v>68</v>
      </c>
      <c r="AO237" t="s">
        <v>68</v>
      </c>
      <c r="AP237">
        <v>0</v>
      </c>
      <c r="AQ237" t="s">
        <v>69</v>
      </c>
      <c r="AR237">
        <v>13</v>
      </c>
      <c r="AS237">
        <v>0</v>
      </c>
      <c r="AT237">
        <v>9.0299999999999998E-3</v>
      </c>
      <c r="AU237">
        <v>-1.83E-3</v>
      </c>
      <c r="AV237">
        <v>3.805E-2</v>
      </c>
      <c r="AW237">
        <v>-7.7999999999999996E-3</v>
      </c>
      <c r="AX237">
        <v>0</v>
      </c>
      <c r="AY237">
        <v>0</v>
      </c>
      <c r="AZ237">
        <v>0</v>
      </c>
      <c r="BA237">
        <v>1</v>
      </c>
      <c r="BB237" t="s">
        <v>70</v>
      </c>
      <c r="BC237">
        <v>1.0549999999999999</v>
      </c>
      <c r="BD237">
        <v>0.55200000000000005</v>
      </c>
      <c r="BE237" t="s">
        <v>71</v>
      </c>
    </row>
    <row r="238" spans="1:57">
      <c r="A238">
        <v>122</v>
      </c>
      <c r="B238" t="s">
        <v>384</v>
      </c>
      <c r="D238" t="s">
        <v>60</v>
      </c>
      <c r="E238" t="s">
        <v>385</v>
      </c>
      <c r="F238" t="s">
        <v>386</v>
      </c>
      <c r="G238">
        <v>218</v>
      </c>
      <c r="H238" t="s">
        <v>63</v>
      </c>
      <c r="I238">
        <v>5</v>
      </c>
      <c r="J238" t="str">
        <f>HYPERLINK("Gene122-zp_tree_all.dnd", "Gene122-tree")</f>
        <v>Gene122-tree</v>
      </c>
      <c r="K238">
        <v>4</v>
      </c>
      <c r="L238">
        <v>1</v>
      </c>
      <c r="M238">
        <v>4</v>
      </c>
      <c r="N238">
        <v>1</v>
      </c>
      <c r="O238">
        <v>0.2</v>
      </c>
      <c r="P238" t="s">
        <v>64</v>
      </c>
      <c r="Q238" t="s">
        <v>65</v>
      </c>
      <c r="R238" t="s">
        <v>66</v>
      </c>
      <c r="S238" t="s">
        <v>66</v>
      </c>
      <c r="T238">
        <v>0</v>
      </c>
      <c r="U238">
        <v>0</v>
      </c>
      <c r="V238">
        <v>2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3</v>
      </c>
      <c r="AI238">
        <v>2</v>
      </c>
      <c r="AJ238">
        <v>2</v>
      </c>
      <c r="AK238">
        <v>1</v>
      </c>
      <c r="AL238">
        <v>8</v>
      </c>
      <c r="AM238">
        <v>1</v>
      </c>
      <c r="AN238" t="s">
        <v>387</v>
      </c>
      <c r="AO238" t="s">
        <v>388</v>
      </c>
      <c r="AP238">
        <v>0.51100000000000001</v>
      </c>
      <c r="AQ238" t="s">
        <v>69</v>
      </c>
      <c r="AR238">
        <v>10</v>
      </c>
      <c r="AS238">
        <v>2</v>
      </c>
      <c r="AT238">
        <v>1.009E-2</v>
      </c>
      <c r="AU238">
        <v>-1.9499999999999999E-3</v>
      </c>
      <c r="AV238">
        <v>3.6549999999999999E-2</v>
      </c>
      <c r="AW238">
        <v>-6.9899999999999997E-3</v>
      </c>
      <c r="AX238">
        <v>2.0200000000000001E-3</v>
      </c>
      <c r="AY238">
        <v>-4.0000000000000002E-4</v>
      </c>
      <c r="AZ238">
        <v>5.534E-2</v>
      </c>
      <c r="BA238">
        <v>1</v>
      </c>
      <c r="BB238" t="s">
        <v>70</v>
      </c>
      <c r="BC238">
        <v>1.0549999999999999</v>
      </c>
      <c r="BD238">
        <v>1.0549999999999999</v>
      </c>
      <c r="BE238" t="s">
        <v>71</v>
      </c>
    </row>
    <row r="239" spans="1:57">
      <c r="A239">
        <v>130</v>
      </c>
      <c r="B239" t="s">
        <v>410</v>
      </c>
      <c r="D239" t="s">
        <v>60</v>
      </c>
      <c r="E239" t="s">
        <v>411</v>
      </c>
      <c r="F239" t="s">
        <v>412</v>
      </c>
      <c r="G239">
        <v>132</v>
      </c>
      <c r="H239" t="s">
        <v>63</v>
      </c>
      <c r="I239">
        <v>5</v>
      </c>
      <c r="J239" t="str">
        <f>HYPERLINK("Gene130-zp_tree_all.dnd", "Gene130-tree")</f>
        <v>Gene130-tree</v>
      </c>
      <c r="K239">
        <v>4</v>
      </c>
      <c r="L239">
        <v>1</v>
      </c>
      <c r="M239">
        <v>4</v>
      </c>
      <c r="N239">
        <v>1</v>
      </c>
      <c r="O239">
        <v>0.2</v>
      </c>
      <c r="P239" t="s">
        <v>64</v>
      </c>
      <c r="Q239" t="s">
        <v>65</v>
      </c>
      <c r="R239" t="s">
        <v>66</v>
      </c>
      <c r="S239" t="s">
        <v>66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3</v>
      </c>
      <c r="AI239">
        <v>1</v>
      </c>
      <c r="AJ239">
        <v>3</v>
      </c>
      <c r="AK239">
        <v>1</v>
      </c>
      <c r="AL239">
        <v>1</v>
      </c>
      <c r="AM239">
        <v>0</v>
      </c>
      <c r="AN239" t="s">
        <v>413</v>
      </c>
      <c r="AO239" t="s">
        <v>68</v>
      </c>
      <c r="AP239">
        <v>0.86599999999999999</v>
      </c>
      <c r="AQ239" t="s">
        <v>69</v>
      </c>
      <c r="AR239">
        <v>4</v>
      </c>
      <c r="AS239">
        <v>1</v>
      </c>
      <c r="AT239">
        <v>5.5599999999999998E-3</v>
      </c>
      <c r="AU239">
        <v>-7.7999999999999999E-4</v>
      </c>
      <c r="AV239">
        <v>1.9779999999999999E-2</v>
      </c>
      <c r="AW239">
        <v>-2.63E-3</v>
      </c>
      <c r="AX239">
        <v>1.32E-3</v>
      </c>
      <c r="AY239">
        <v>-4.6000000000000001E-4</v>
      </c>
      <c r="AZ239">
        <v>6.6739999999999994E-2</v>
      </c>
      <c r="BA239">
        <v>0.98699999999999999</v>
      </c>
      <c r="BB239" t="s">
        <v>70</v>
      </c>
      <c r="BC239">
        <v>-0.56200000000000006</v>
      </c>
      <c r="BD239">
        <v>-0.56200000000000006</v>
      </c>
      <c r="BE239" t="s">
        <v>71</v>
      </c>
    </row>
    <row r="240" spans="1:57">
      <c r="A240">
        <v>131</v>
      </c>
      <c r="B240" t="s">
        <v>414</v>
      </c>
      <c r="D240" t="s">
        <v>60</v>
      </c>
      <c r="E240" t="s">
        <v>415</v>
      </c>
      <c r="F240" t="s">
        <v>416</v>
      </c>
      <c r="G240">
        <v>179</v>
      </c>
      <c r="H240" t="s">
        <v>63</v>
      </c>
      <c r="I240">
        <v>5</v>
      </c>
      <c r="J240" t="str">
        <f>HYPERLINK("Gene131-zp_tree_all.dnd", "Gene131-tree")</f>
        <v>Gene131-tree</v>
      </c>
      <c r="K240">
        <v>2</v>
      </c>
      <c r="L240">
        <v>3</v>
      </c>
      <c r="M240">
        <v>2</v>
      </c>
      <c r="N240">
        <v>2</v>
      </c>
      <c r="O240">
        <v>0.5</v>
      </c>
      <c r="P240" t="s">
        <v>124</v>
      </c>
      <c r="Q240" t="s">
        <v>185</v>
      </c>
      <c r="R240">
        <v>0.30599999999999999</v>
      </c>
      <c r="S240" t="s">
        <v>69</v>
      </c>
      <c r="T240">
        <v>0</v>
      </c>
      <c r="U240">
        <v>0</v>
      </c>
      <c r="V240">
        <v>3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3</v>
      </c>
      <c r="AG240">
        <v>0</v>
      </c>
      <c r="AH240">
        <v>3</v>
      </c>
      <c r="AI240">
        <v>1</v>
      </c>
      <c r="AJ240">
        <v>11</v>
      </c>
      <c r="AK240">
        <v>1</v>
      </c>
      <c r="AL240">
        <v>6</v>
      </c>
      <c r="AM240">
        <v>2</v>
      </c>
      <c r="AN240" t="s">
        <v>417</v>
      </c>
      <c r="AO240" t="s">
        <v>418</v>
      </c>
      <c r="AP240">
        <v>2.0209999999999999</v>
      </c>
      <c r="AQ240" t="s">
        <v>69</v>
      </c>
      <c r="AR240">
        <v>17</v>
      </c>
      <c r="AS240">
        <v>3</v>
      </c>
      <c r="AT240">
        <v>2.1100000000000001E-2</v>
      </c>
      <c r="AU240">
        <v>-3.4199999999999999E-3</v>
      </c>
      <c r="AV240">
        <v>7.5620000000000007E-2</v>
      </c>
      <c r="AW240">
        <v>-1.265E-2</v>
      </c>
      <c r="AX240">
        <v>4.5599999999999998E-3</v>
      </c>
      <c r="AY240">
        <v>-1.08E-3</v>
      </c>
      <c r="AZ240">
        <v>6.028E-2</v>
      </c>
      <c r="BA240">
        <v>1</v>
      </c>
      <c r="BB240" t="s">
        <v>70</v>
      </c>
      <c r="BC240">
        <v>0</v>
      </c>
      <c r="BD240">
        <v>0</v>
      </c>
      <c r="BE240" t="s">
        <v>71</v>
      </c>
    </row>
    <row r="241" spans="1:57">
      <c r="A241">
        <v>134</v>
      </c>
      <c r="B241" t="s">
        <v>425</v>
      </c>
      <c r="D241" t="s">
        <v>60</v>
      </c>
      <c r="E241" t="s">
        <v>426</v>
      </c>
      <c r="F241" t="s">
        <v>427</v>
      </c>
      <c r="G241">
        <v>59</v>
      </c>
      <c r="H241" t="s">
        <v>63</v>
      </c>
      <c r="I241">
        <v>5</v>
      </c>
      <c r="J241" t="str">
        <f>HYPERLINK("Gene134-zp_tree_all.dnd", "Gene134-tree")</f>
        <v>Gene134-tree</v>
      </c>
      <c r="K241">
        <v>5</v>
      </c>
      <c r="L241">
        <v>0</v>
      </c>
      <c r="M241">
        <v>5</v>
      </c>
      <c r="N241">
        <v>0</v>
      </c>
      <c r="O241">
        <v>0</v>
      </c>
      <c r="P241" t="s">
        <v>96</v>
      </c>
      <c r="Q241" t="s">
        <v>66</v>
      </c>
      <c r="R241" t="s">
        <v>66</v>
      </c>
      <c r="S241" t="s">
        <v>66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3</v>
      </c>
      <c r="AI241">
        <v>1</v>
      </c>
      <c r="AJ241">
        <v>3</v>
      </c>
      <c r="AK241">
        <v>0</v>
      </c>
      <c r="AL241">
        <v>2</v>
      </c>
      <c r="AM241">
        <v>0</v>
      </c>
      <c r="AN241" t="s">
        <v>68</v>
      </c>
      <c r="AO241" t="s">
        <v>68</v>
      </c>
      <c r="AP241">
        <v>0</v>
      </c>
      <c r="AQ241" t="s">
        <v>69</v>
      </c>
      <c r="AR241">
        <v>5</v>
      </c>
      <c r="AS241">
        <v>0</v>
      </c>
      <c r="AT241">
        <v>1.3559999999999999E-2</v>
      </c>
      <c r="AU241">
        <v>-1.99E-3</v>
      </c>
      <c r="AV241">
        <v>6.2600000000000003E-2</v>
      </c>
      <c r="AW241">
        <v>-9.4999999999999998E-3</v>
      </c>
      <c r="AX241">
        <v>0</v>
      </c>
      <c r="AY241">
        <v>0</v>
      </c>
      <c r="AZ241">
        <v>0</v>
      </c>
      <c r="BA241">
        <v>1</v>
      </c>
      <c r="BB241" t="s">
        <v>70</v>
      </c>
      <c r="BC241">
        <v>0</v>
      </c>
      <c r="BD241">
        <v>0</v>
      </c>
      <c r="BE241" t="s">
        <v>71</v>
      </c>
    </row>
    <row r="242" spans="1:57">
      <c r="A242">
        <v>135</v>
      </c>
      <c r="B242" t="s">
        <v>428</v>
      </c>
      <c r="D242" t="s">
        <v>60</v>
      </c>
      <c r="E242" t="s">
        <v>429</v>
      </c>
      <c r="F242" t="s">
        <v>430</v>
      </c>
      <c r="G242">
        <v>146</v>
      </c>
      <c r="H242" t="s">
        <v>63</v>
      </c>
      <c r="I242">
        <v>5</v>
      </c>
      <c r="J242" t="str">
        <f>HYPERLINK("Gene135-zp_tree_all.dnd", "Gene135-tree")</f>
        <v>Gene135-tree</v>
      </c>
      <c r="K242">
        <v>5</v>
      </c>
      <c r="L242">
        <v>0</v>
      </c>
      <c r="M242">
        <v>4</v>
      </c>
      <c r="N242">
        <v>0</v>
      </c>
      <c r="O242">
        <v>0</v>
      </c>
      <c r="P242" t="s">
        <v>135</v>
      </c>
      <c r="Q242" t="s">
        <v>66</v>
      </c>
      <c r="R242" t="s">
        <v>66</v>
      </c>
      <c r="S242" t="s">
        <v>66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2</v>
      </c>
      <c r="AI242">
        <v>1</v>
      </c>
      <c r="AJ242">
        <v>2</v>
      </c>
      <c r="AK242">
        <v>0</v>
      </c>
      <c r="AL242">
        <v>1</v>
      </c>
      <c r="AM242">
        <v>0</v>
      </c>
      <c r="AN242" t="s">
        <v>68</v>
      </c>
      <c r="AO242" t="s">
        <v>68</v>
      </c>
      <c r="AP242">
        <v>0</v>
      </c>
      <c r="AQ242" t="s">
        <v>69</v>
      </c>
      <c r="AR242">
        <v>3</v>
      </c>
      <c r="AS242">
        <v>0</v>
      </c>
      <c r="AT242">
        <v>3.81E-3</v>
      </c>
      <c r="AU242">
        <v>-6.8999999999999997E-4</v>
      </c>
      <c r="AV242">
        <v>1.575E-2</v>
      </c>
      <c r="AW242">
        <v>-2.9099999999999998E-3</v>
      </c>
      <c r="AX242">
        <v>0</v>
      </c>
      <c r="AY242">
        <v>0</v>
      </c>
      <c r="AZ242">
        <v>0</v>
      </c>
      <c r="BA242">
        <v>1</v>
      </c>
      <c r="BB242" t="s">
        <v>70</v>
      </c>
      <c r="BC242">
        <v>-0.17499999999999999</v>
      </c>
      <c r="BD242">
        <v>-0.17499999999999999</v>
      </c>
      <c r="BE242" t="s">
        <v>71</v>
      </c>
    </row>
    <row r="243" spans="1:57">
      <c r="A243">
        <v>136</v>
      </c>
      <c r="B243" t="s">
        <v>431</v>
      </c>
      <c r="D243" t="s">
        <v>60</v>
      </c>
      <c r="E243" t="s">
        <v>432</v>
      </c>
      <c r="F243" t="s">
        <v>433</v>
      </c>
      <c r="G243">
        <v>431</v>
      </c>
      <c r="H243" t="s">
        <v>63</v>
      </c>
      <c r="I243">
        <v>5</v>
      </c>
      <c r="J243" t="str">
        <f>HYPERLINK("Gene136-zp_tree_all.dnd", "Gene136-tree")</f>
        <v>Gene136-tree</v>
      </c>
      <c r="K243">
        <v>4</v>
      </c>
      <c r="L243">
        <v>1</v>
      </c>
      <c r="M243">
        <v>4</v>
      </c>
      <c r="N243">
        <v>1</v>
      </c>
      <c r="O243">
        <v>0.2</v>
      </c>
      <c r="P243" t="s">
        <v>64</v>
      </c>
      <c r="Q243" t="s">
        <v>65</v>
      </c>
      <c r="R243" t="s">
        <v>66</v>
      </c>
      <c r="S243" t="s">
        <v>66</v>
      </c>
      <c r="T243">
        <v>0</v>
      </c>
      <c r="U243">
        <v>0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4</v>
      </c>
      <c r="AI243">
        <v>2</v>
      </c>
      <c r="AJ243">
        <v>11</v>
      </c>
      <c r="AK243">
        <v>1</v>
      </c>
      <c r="AL243">
        <v>13</v>
      </c>
      <c r="AM243">
        <v>4</v>
      </c>
      <c r="AN243" t="s">
        <v>434</v>
      </c>
      <c r="AO243" t="s">
        <v>435</v>
      </c>
      <c r="AP243">
        <v>0.58699999999999997</v>
      </c>
      <c r="AQ243" t="s">
        <v>69</v>
      </c>
      <c r="AR243">
        <v>24</v>
      </c>
      <c r="AS243">
        <v>5</v>
      </c>
      <c r="AT243">
        <v>1.137E-2</v>
      </c>
      <c r="AU243">
        <v>-2.0699999999999998E-3</v>
      </c>
      <c r="AV243">
        <v>3.986E-2</v>
      </c>
      <c r="AW243">
        <v>-7.0299999999999998E-3</v>
      </c>
      <c r="AX243">
        <v>2.8500000000000001E-3</v>
      </c>
      <c r="AY243">
        <v>-6.8999999999999997E-4</v>
      </c>
      <c r="AZ243">
        <v>7.1609999999999993E-2</v>
      </c>
      <c r="BA243">
        <v>1</v>
      </c>
      <c r="BB243" t="s">
        <v>70</v>
      </c>
      <c r="BC243">
        <v>0.7</v>
      </c>
      <c r="BD243">
        <v>0.42199999999999999</v>
      </c>
      <c r="BE243" t="s">
        <v>71</v>
      </c>
    </row>
    <row r="244" spans="1:57">
      <c r="A244">
        <v>137</v>
      </c>
      <c r="B244" t="s">
        <v>436</v>
      </c>
      <c r="D244" t="s">
        <v>60</v>
      </c>
      <c r="E244" t="s">
        <v>437</v>
      </c>
      <c r="F244" t="s">
        <v>438</v>
      </c>
      <c r="G244">
        <v>217</v>
      </c>
      <c r="H244" t="s">
        <v>63</v>
      </c>
      <c r="I244">
        <v>5</v>
      </c>
      <c r="J244" t="str">
        <f>HYPERLINK("Gene137-zp_tree_all.dnd", "Gene137-tree")</f>
        <v>Gene137-tree</v>
      </c>
      <c r="K244">
        <v>4</v>
      </c>
      <c r="L244">
        <v>1</v>
      </c>
      <c r="M244">
        <v>4</v>
      </c>
      <c r="N244">
        <v>1</v>
      </c>
      <c r="O244">
        <v>0.2</v>
      </c>
      <c r="P244" t="s">
        <v>64</v>
      </c>
      <c r="Q244" t="s">
        <v>65</v>
      </c>
      <c r="R244" t="s">
        <v>66</v>
      </c>
      <c r="S244" t="s">
        <v>66</v>
      </c>
      <c r="T244">
        <v>0</v>
      </c>
      <c r="U244">
        <v>0</v>
      </c>
      <c r="V244">
        <v>2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4</v>
      </c>
      <c r="AI244">
        <v>2</v>
      </c>
      <c r="AJ244">
        <v>7</v>
      </c>
      <c r="AK244">
        <v>1</v>
      </c>
      <c r="AL244">
        <v>6</v>
      </c>
      <c r="AM244">
        <v>1</v>
      </c>
      <c r="AN244" t="s">
        <v>439</v>
      </c>
      <c r="AO244" t="s">
        <v>440</v>
      </c>
      <c r="AP244">
        <v>7.6999999999999999E-2</v>
      </c>
      <c r="AQ244" t="s">
        <v>69</v>
      </c>
      <c r="AR244">
        <v>13</v>
      </c>
      <c r="AS244">
        <v>2</v>
      </c>
      <c r="AT244">
        <v>1.137E-2</v>
      </c>
      <c r="AU244">
        <v>-1.7099999999999999E-3</v>
      </c>
      <c r="AV244">
        <v>4.4319999999999998E-2</v>
      </c>
      <c r="AW244">
        <v>-6.79E-3</v>
      </c>
      <c r="AX244">
        <v>2E-3</v>
      </c>
      <c r="AY244">
        <v>-3.5E-4</v>
      </c>
      <c r="AZ244">
        <v>4.5100000000000001E-2</v>
      </c>
      <c r="BA244">
        <v>1</v>
      </c>
      <c r="BB244" t="s">
        <v>70</v>
      </c>
      <c r="BC244">
        <v>0.20300000000000001</v>
      </c>
      <c r="BD244">
        <v>0.20300000000000001</v>
      </c>
      <c r="BE244" t="s">
        <v>71</v>
      </c>
    </row>
    <row r="245" spans="1:57">
      <c r="A245">
        <v>144</v>
      </c>
      <c r="B245" t="s">
        <v>456</v>
      </c>
      <c r="D245" t="s">
        <v>60</v>
      </c>
      <c r="E245" t="s">
        <v>457</v>
      </c>
      <c r="F245" t="s">
        <v>458</v>
      </c>
      <c r="G245">
        <v>314</v>
      </c>
      <c r="H245" t="s">
        <v>63</v>
      </c>
      <c r="I245">
        <v>5</v>
      </c>
      <c r="J245" t="str">
        <f>HYPERLINK("Gene144-zp_tree_all.dnd", "Gene144-tree")</f>
        <v>Gene144-tree</v>
      </c>
      <c r="K245">
        <v>5</v>
      </c>
      <c r="L245">
        <v>0</v>
      </c>
      <c r="M245">
        <v>4</v>
      </c>
      <c r="N245">
        <v>0</v>
      </c>
      <c r="O245">
        <v>0</v>
      </c>
      <c r="P245" t="s">
        <v>135</v>
      </c>
      <c r="Q245" t="s">
        <v>66</v>
      </c>
      <c r="R245" t="s">
        <v>66</v>
      </c>
      <c r="S245" t="s">
        <v>66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2</v>
      </c>
      <c r="AI245">
        <v>1</v>
      </c>
      <c r="AJ245">
        <v>7</v>
      </c>
      <c r="AK245">
        <v>0</v>
      </c>
      <c r="AL245">
        <v>4</v>
      </c>
      <c r="AM245">
        <v>0</v>
      </c>
      <c r="AN245" t="s">
        <v>68</v>
      </c>
      <c r="AO245" t="s">
        <v>68</v>
      </c>
      <c r="AP245">
        <v>0</v>
      </c>
      <c r="AQ245" t="s">
        <v>69</v>
      </c>
      <c r="AR245">
        <v>11</v>
      </c>
      <c r="AS245">
        <v>0</v>
      </c>
      <c r="AT245">
        <v>6.5500000000000003E-3</v>
      </c>
      <c r="AU245">
        <v>-1.31E-3</v>
      </c>
      <c r="AV245">
        <v>2.86E-2</v>
      </c>
      <c r="AW245">
        <v>-5.8300000000000001E-3</v>
      </c>
      <c r="AX245">
        <v>0</v>
      </c>
      <c r="AY245">
        <v>0</v>
      </c>
      <c r="AZ245">
        <v>0</v>
      </c>
      <c r="BA245">
        <v>1</v>
      </c>
      <c r="BB245" t="s">
        <v>70</v>
      </c>
      <c r="BC245">
        <v>-0.109</v>
      </c>
      <c r="BD245">
        <v>-0.109</v>
      </c>
      <c r="BE245" t="s">
        <v>71</v>
      </c>
    </row>
    <row r="246" spans="1:57">
      <c r="A246">
        <v>145</v>
      </c>
      <c r="B246" t="s">
        <v>459</v>
      </c>
      <c r="D246" t="s">
        <v>60</v>
      </c>
      <c r="E246" t="s">
        <v>460</v>
      </c>
      <c r="F246" t="s">
        <v>461</v>
      </c>
      <c r="G246">
        <v>120</v>
      </c>
      <c r="H246" t="s">
        <v>63</v>
      </c>
      <c r="I246">
        <v>5</v>
      </c>
      <c r="J246" t="str">
        <f>HYPERLINK("Gene145-zp_tree_all.dnd", "Gene145-tree")</f>
        <v>Gene145-tree</v>
      </c>
      <c r="K246">
        <v>5</v>
      </c>
      <c r="L246">
        <v>0</v>
      </c>
      <c r="M246">
        <v>4</v>
      </c>
      <c r="N246">
        <v>0</v>
      </c>
      <c r="O246">
        <v>0</v>
      </c>
      <c r="P246" t="s">
        <v>135</v>
      </c>
      <c r="Q246" t="s">
        <v>66</v>
      </c>
      <c r="R246" t="s">
        <v>66</v>
      </c>
      <c r="S246" t="s">
        <v>66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3</v>
      </c>
      <c r="AI246">
        <v>1</v>
      </c>
      <c r="AJ246">
        <v>3</v>
      </c>
      <c r="AK246">
        <v>0</v>
      </c>
      <c r="AL246">
        <v>1</v>
      </c>
      <c r="AM246">
        <v>0</v>
      </c>
      <c r="AN246" t="s">
        <v>68</v>
      </c>
      <c r="AO246" t="s">
        <v>68</v>
      </c>
      <c r="AP246">
        <v>0</v>
      </c>
      <c r="AQ246" t="s">
        <v>69</v>
      </c>
      <c r="AR246">
        <v>4</v>
      </c>
      <c r="AS246">
        <v>0</v>
      </c>
      <c r="AT246">
        <v>6.0200000000000002E-3</v>
      </c>
      <c r="AU246">
        <v>-7.7999999999999999E-4</v>
      </c>
      <c r="AV246">
        <v>2.5669999999999998E-2</v>
      </c>
      <c r="AW246">
        <v>-3.3700000000000002E-3</v>
      </c>
      <c r="AX246">
        <v>0</v>
      </c>
      <c r="AY246">
        <v>0</v>
      </c>
      <c r="AZ246">
        <v>0</v>
      </c>
      <c r="BA246">
        <v>1</v>
      </c>
      <c r="BB246" t="s">
        <v>70</v>
      </c>
      <c r="BC246">
        <v>0.27300000000000002</v>
      </c>
      <c r="BD246">
        <v>0.27300000000000002</v>
      </c>
      <c r="BE246" t="s">
        <v>71</v>
      </c>
    </row>
    <row r="247" spans="1:57">
      <c r="A247">
        <v>146</v>
      </c>
      <c r="B247" t="s">
        <v>462</v>
      </c>
      <c r="D247" t="s">
        <v>60</v>
      </c>
      <c r="E247" t="s">
        <v>463</v>
      </c>
      <c r="F247" t="s">
        <v>464</v>
      </c>
      <c r="G247">
        <v>281</v>
      </c>
      <c r="H247" t="s">
        <v>63</v>
      </c>
      <c r="I247">
        <v>5</v>
      </c>
      <c r="J247" t="str">
        <f>HYPERLINK("Gene146-zp_tree_all.dnd", "Gene146-tree")</f>
        <v>Gene146-tree</v>
      </c>
      <c r="K247">
        <v>3</v>
      </c>
      <c r="L247">
        <v>2</v>
      </c>
      <c r="M247">
        <v>3</v>
      </c>
      <c r="N247">
        <v>2</v>
      </c>
      <c r="O247">
        <v>0.4</v>
      </c>
      <c r="P247" t="s">
        <v>86</v>
      </c>
      <c r="Q247" t="s">
        <v>124</v>
      </c>
      <c r="R247" t="s">
        <v>66</v>
      </c>
      <c r="S247" t="s">
        <v>66</v>
      </c>
      <c r="T247">
        <v>0</v>
      </c>
      <c r="U247">
        <v>0</v>
      </c>
      <c r="V247">
        <v>4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3</v>
      </c>
      <c r="AG247">
        <v>0</v>
      </c>
      <c r="AH247">
        <v>4</v>
      </c>
      <c r="AI247">
        <v>1</v>
      </c>
      <c r="AJ247">
        <v>11</v>
      </c>
      <c r="AK247">
        <v>3</v>
      </c>
      <c r="AL247">
        <v>17</v>
      </c>
      <c r="AM247">
        <v>1</v>
      </c>
      <c r="AN247" t="s">
        <v>465</v>
      </c>
      <c r="AO247" t="s">
        <v>466</v>
      </c>
      <c r="AP247">
        <v>0.88900000000000001</v>
      </c>
      <c r="AQ247" t="s">
        <v>69</v>
      </c>
      <c r="AR247">
        <v>28</v>
      </c>
      <c r="AS247">
        <v>4</v>
      </c>
      <c r="AT247">
        <v>1.9220000000000001E-2</v>
      </c>
      <c r="AU247">
        <v>-3.8400000000000001E-3</v>
      </c>
      <c r="AV247">
        <v>8.2189999999999999E-2</v>
      </c>
      <c r="AW247">
        <v>-1.72E-2</v>
      </c>
      <c r="AX247">
        <v>2.7599999999999999E-3</v>
      </c>
      <c r="AY247">
        <v>-5.6999999999999998E-4</v>
      </c>
      <c r="AZ247">
        <v>3.3590000000000002E-2</v>
      </c>
      <c r="BA247">
        <v>1</v>
      </c>
      <c r="BB247" t="s">
        <v>70</v>
      </c>
      <c r="BC247">
        <v>0.66400000000000003</v>
      </c>
      <c r="BD247">
        <v>0.66400000000000003</v>
      </c>
      <c r="BE247" t="s">
        <v>71</v>
      </c>
    </row>
    <row r="248" spans="1:57">
      <c r="A248">
        <v>146</v>
      </c>
      <c r="B248" t="s">
        <v>462</v>
      </c>
      <c r="D248" t="s">
        <v>60</v>
      </c>
      <c r="E248" t="s">
        <v>463</v>
      </c>
      <c r="F248" t="s">
        <v>464</v>
      </c>
      <c r="G248">
        <v>281</v>
      </c>
      <c r="H248" t="s">
        <v>63</v>
      </c>
      <c r="I248">
        <v>5</v>
      </c>
      <c r="J248" t="str">
        <f>HYPERLINK("Gene146-zp_tree_all.dnd", "Gene146-tree")</f>
        <v>Gene146-tree</v>
      </c>
      <c r="K248">
        <v>3</v>
      </c>
      <c r="L248">
        <v>2</v>
      </c>
      <c r="M248">
        <v>3</v>
      </c>
      <c r="N248">
        <v>2</v>
      </c>
      <c r="O248">
        <v>0.4</v>
      </c>
      <c r="P248" t="s">
        <v>86</v>
      </c>
      <c r="Q248" t="s">
        <v>124</v>
      </c>
      <c r="R248" t="s">
        <v>66</v>
      </c>
      <c r="S248" t="s">
        <v>66</v>
      </c>
      <c r="T248">
        <v>0</v>
      </c>
      <c r="U248">
        <v>0</v>
      </c>
      <c r="V248">
        <v>4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3</v>
      </c>
      <c r="AG248">
        <v>0</v>
      </c>
      <c r="AH248">
        <v>4</v>
      </c>
      <c r="AI248">
        <v>1</v>
      </c>
      <c r="AJ248">
        <v>11</v>
      </c>
      <c r="AK248">
        <v>3</v>
      </c>
      <c r="AL248">
        <v>17</v>
      </c>
      <c r="AM248">
        <v>1</v>
      </c>
      <c r="AN248" t="s">
        <v>465</v>
      </c>
      <c r="AO248" t="s">
        <v>466</v>
      </c>
      <c r="AP248">
        <v>0.88900000000000001</v>
      </c>
      <c r="AQ248" t="s">
        <v>69</v>
      </c>
      <c r="AR248">
        <v>28</v>
      </c>
      <c r="AS248">
        <v>4</v>
      </c>
      <c r="AT248">
        <v>1.9220000000000001E-2</v>
      </c>
      <c r="AU248">
        <v>-3.8400000000000001E-3</v>
      </c>
      <c r="AV248">
        <v>8.2189999999999999E-2</v>
      </c>
      <c r="AW248">
        <v>-1.72E-2</v>
      </c>
      <c r="AX248">
        <v>2.7599999999999999E-3</v>
      </c>
      <c r="AY248">
        <v>-5.6999999999999998E-4</v>
      </c>
      <c r="AZ248">
        <v>3.3590000000000002E-2</v>
      </c>
      <c r="BA248">
        <v>1</v>
      </c>
      <c r="BB248" t="s">
        <v>70</v>
      </c>
      <c r="BC248">
        <v>0.66400000000000003</v>
      </c>
      <c r="BD248">
        <v>0.66400000000000003</v>
      </c>
      <c r="BE248" t="s">
        <v>71</v>
      </c>
    </row>
    <row r="249" spans="1:57">
      <c r="A249">
        <v>149</v>
      </c>
      <c r="B249" t="s">
        <v>467</v>
      </c>
      <c r="D249" t="s">
        <v>60</v>
      </c>
      <c r="E249" t="s">
        <v>468</v>
      </c>
      <c r="F249" t="s">
        <v>469</v>
      </c>
      <c r="G249">
        <v>247</v>
      </c>
      <c r="H249" t="s">
        <v>63</v>
      </c>
      <c r="I249">
        <v>5</v>
      </c>
      <c r="J249" t="str">
        <f>HYPERLINK("Gene149-zp_tree_all.dnd", "Gene149-tree")</f>
        <v>Gene149-tree</v>
      </c>
      <c r="K249">
        <v>3</v>
      </c>
      <c r="L249">
        <v>2</v>
      </c>
      <c r="M249">
        <v>3</v>
      </c>
      <c r="N249">
        <v>2</v>
      </c>
      <c r="O249">
        <v>0.4</v>
      </c>
      <c r="P249" t="s">
        <v>86</v>
      </c>
      <c r="Q249" t="s">
        <v>124</v>
      </c>
      <c r="R249" t="s">
        <v>66</v>
      </c>
      <c r="S249" t="s">
        <v>66</v>
      </c>
      <c r="T249">
        <v>0</v>
      </c>
      <c r="U249">
        <v>0</v>
      </c>
      <c r="V249">
        <v>12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11</v>
      </c>
      <c r="AG249">
        <v>0</v>
      </c>
      <c r="AH249">
        <v>4</v>
      </c>
      <c r="AI249">
        <v>2</v>
      </c>
      <c r="AJ249">
        <v>23</v>
      </c>
      <c r="AK249">
        <v>7</v>
      </c>
      <c r="AL249">
        <v>11</v>
      </c>
      <c r="AM249">
        <v>5</v>
      </c>
      <c r="AN249" t="s">
        <v>470</v>
      </c>
      <c r="AO249" t="s">
        <v>471</v>
      </c>
      <c r="AP249">
        <v>0.45500000000000002</v>
      </c>
      <c r="AQ249" t="s">
        <v>69</v>
      </c>
      <c r="AR249">
        <v>34</v>
      </c>
      <c r="AS249">
        <v>12</v>
      </c>
      <c r="AT249">
        <v>2.8740000000000002E-2</v>
      </c>
      <c r="AU249">
        <v>-4.5900000000000003E-3</v>
      </c>
      <c r="AV249">
        <v>9.7140000000000004E-2</v>
      </c>
      <c r="AW249">
        <v>-1.499E-2</v>
      </c>
      <c r="AX249">
        <v>1.03E-2</v>
      </c>
      <c r="AY249">
        <v>-1.9300000000000001E-3</v>
      </c>
      <c r="AZ249">
        <v>0.10604</v>
      </c>
      <c r="BA249">
        <v>1</v>
      </c>
      <c r="BB249" t="s">
        <v>70</v>
      </c>
      <c r="BC249">
        <v>-0.105</v>
      </c>
      <c r="BD249">
        <v>-0.27900000000000003</v>
      </c>
      <c r="BE249" t="s">
        <v>71</v>
      </c>
    </row>
    <row r="250" spans="1:57">
      <c r="A250">
        <v>151</v>
      </c>
      <c r="B250" t="s">
        <v>475</v>
      </c>
      <c r="D250" t="s">
        <v>60</v>
      </c>
      <c r="E250" t="s">
        <v>476</v>
      </c>
      <c r="F250" t="s">
        <v>477</v>
      </c>
      <c r="G250">
        <v>130</v>
      </c>
      <c r="H250" t="s">
        <v>63</v>
      </c>
      <c r="I250">
        <v>5</v>
      </c>
      <c r="J250" t="str">
        <f>HYPERLINK("Gene151-zp_tree_all.dnd", "Gene151-tree")</f>
        <v>Gene151-tree</v>
      </c>
      <c r="K250">
        <v>3</v>
      </c>
      <c r="L250">
        <v>2</v>
      </c>
      <c r="M250">
        <v>3</v>
      </c>
      <c r="N250">
        <v>2</v>
      </c>
      <c r="O250">
        <v>0.4</v>
      </c>
      <c r="P250" t="s">
        <v>86</v>
      </c>
      <c r="Q250" t="s">
        <v>124</v>
      </c>
      <c r="R250" t="s">
        <v>66</v>
      </c>
      <c r="S250" t="s">
        <v>66</v>
      </c>
      <c r="T250">
        <v>0</v>
      </c>
      <c r="U250">
        <v>0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3</v>
      </c>
      <c r="AG250">
        <v>0</v>
      </c>
      <c r="AH250">
        <v>3</v>
      </c>
      <c r="AI250">
        <v>1</v>
      </c>
      <c r="AJ250">
        <v>7</v>
      </c>
      <c r="AK250">
        <v>3</v>
      </c>
      <c r="AL250">
        <v>3</v>
      </c>
      <c r="AM250">
        <v>0</v>
      </c>
      <c r="AN250" t="s">
        <v>478</v>
      </c>
      <c r="AO250" t="s">
        <v>68</v>
      </c>
      <c r="AP250">
        <v>0.88800000000000001</v>
      </c>
      <c r="AQ250" t="s">
        <v>69</v>
      </c>
      <c r="AR250">
        <v>10</v>
      </c>
      <c r="AS250">
        <v>3</v>
      </c>
      <c r="AT250">
        <v>1.487E-2</v>
      </c>
      <c r="AU250">
        <v>-3.47E-3</v>
      </c>
      <c r="AV250">
        <v>4.7379999999999999E-2</v>
      </c>
      <c r="AW250">
        <v>-1.1639999999999999E-2</v>
      </c>
      <c r="AX250">
        <v>4.1900000000000001E-3</v>
      </c>
      <c r="AY250">
        <v>-1.08E-3</v>
      </c>
      <c r="AZ250">
        <v>8.838E-2</v>
      </c>
      <c r="BA250">
        <v>1</v>
      </c>
      <c r="BB250" t="s">
        <v>70</v>
      </c>
      <c r="BC250">
        <v>-0.51200000000000001</v>
      </c>
      <c r="BD250">
        <v>-0.51200000000000001</v>
      </c>
      <c r="BE250" t="s">
        <v>71</v>
      </c>
    </row>
    <row r="251" spans="1:57">
      <c r="A251">
        <v>153</v>
      </c>
      <c r="B251" t="s">
        <v>479</v>
      </c>
      <c r="D251" t="s">
        <v>60</v>
      </c>
      <c r="E251" t="s">
        <v>480</v>
      </c>
      <c r="F251" t="s">
        <v>74</v>
      </c>
      <c r="G251">
        <v>147</v>
      </c>
      <c r="H251" t="s">
        <v>63</v>
      </c>
      <c r="I251">
        <v>5</v>
      </c>
      <c r="J251" t="str">
        <f>HYPERLINK("Gene153-zp_tree_all.dnd", "Gene153-tree")</f>
        <v>Gene153-tree</v>
      </c>
      <c r="K251">
        <v>1</v>
      </c>
      <c r="L251">
        <v>4</v>
      </c>
      <c r="M251">
        <v>1</v>
      </c>
      <c r="N251">
        <v>4</v>
      </c>
      <c r="O251">
        <v>0.8</v>
      </c>
      <c r="P251" t="s">
        <v>65</v>
      </c>
      <c r="Q251" t="s">
        <v>64</v>
      </c>
      <c r="R251" t="s">
        <v>66</v>
      </c>
      <c r="S251" t="s">
        <v>66</v>
      </c>
      <c r="T251">
        <v>1</v>
      </c>
      <c r="U251">
        <v>2</v>
      </c>
      <c r="V251">
        <v>7</v>
      </c>
      <c r="W251">
        <v>0.22222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2</v>
      </c>
      <c r="AE251">
        <v>2</v>
      </c>
      <c r="AF251">
        <v>7</v>
      </c>
      <c r="AG251">
        <v>0.22222</v>
      </c>
      <c r="AH251">
        <v>5</v>
      </c>
      <c r="AI251">
        <v>2</v>
      </c>
      <c r="AJ251">
        <v>15</v>
      </c>
      <c r="AK251">
        <v>7</v>
      </c>
      <c r="AL251">
        <v>9</v>
      </c>
      <c r="AM251">
        <v>2</v>
      </c>
      <c r="AN251" t="s">
        <v>481</v>
      </c>
      <c r="AO251" t="s">
        <v>482</v>
      </c>
      <c r="AP251">
        <v>1.123</v>
      </c>
      <c r="AQ251" t="s">
        <v>69</v>
      </c>
      <c r="AR251">
        <v>24</v>
      </c>
      <c r="AS251">
        <v>9</v>
      </c>
      <c r="AT251">
        <v>3.3110000000000001E-2</v>
      </c>
      <c r="AU251">
        <v>-2.9099999999999998E-3</v>
      </c>
      <c r="AV251">
        <v>0.13150000000000001</v>
      </c>
      <c r="AW251">
        <v>-1.371E-2</v>
      </c>
      <c r="AX251">
        <v>1.1259999999999999E-2</v>
      </c>
      <c r="AY251">
        <v>-1.1900000000000001E-3</v>
      </c>
      <c r="AZ251">
        <v>8.5610000000000006E-2</v>
      </c>
      <c r="BA251">
        <v>1</v>
      </c>
      <c r="BB251" t="s">
        <v>70</v>
      </c>
      <c r="BC251">
        <v>0.311</v>
      </c>
      <c r="BD251">
        <v>-0.49399999999999999</v>
      </c>
      <c r="BE251" t="s">
        <v>71</v>
      </c>
    </row>
    <row r="252" spans="1:57">
      <c r="A252">
        <v>157</v>
      </c>
      <c r="B252" t="s">
        <v>488</v>
      </c>
      <c r="D252" t="s">
        <v>60</v>
      </c>
      <c r="E252" t="s">
        <v>489</v>
      </c>
      <c r="F252" t="s">
        <v>490</v>
      </c>
      <c r="G252">
        <v>198</v>
      </c>
      <c r="H252" t="s">
        <v>63</v>
      </c>
      <c r="I252">
        <v>5</v>
      </c>
      <c r="J252" t="str">
        <f>HYPERLINK("Gene157-zp_tree_all.dnd", "Gene157-tree")</f>
        <v>Gene157-tree</v>
      </c>
      <c r="K252">
        <v>4</v>
      </c>
      <c r="L252">
        <v>1</v>
      </c>
      <c r="M252">
        <v>3</v>
      </c>
      <c r="N252">
        <v>1</v>
      </c>
      <c r="O252">
        <v>0.25</v>
      </c>
      <c r="P252" t="s">
        <v>112</v>
      </c>
      <c r="Q252" t="s">
        <v>65</v>
      </c>
      <c r="R252" t="s">
        <v>66</v>
      </c>
      <c r="S252" t="s">
        <v>66</v>
      </c>
      <c r="T252">
        <v>0</v>
      </c>
      <c r="U252">
        <v>0</v>
      </c>
      <c r="V252">
        <v>3</v>
      </c>
      <c r="W252">
        <v>0</v>
      </c>
      <c r="X252">
        <v>0</v>
      </c>
      <c r="Y252">
        <v>0</v>
      </c>
      <c r="Z252">
        <v>0</v>
      </c>
      <c r="AA252">
        <v>2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4</v>
      </c>
      <c r="AI252">
        <v>1</v>
      </c>
      <c r="AJ252">
        <v>13</v>
      </c>
      <c r="AK252">
        <v>1</v>
      </c>
      <c r="AL252">
        <v>15</v>
      </c>
      <c r="AM252">
        <v>2</v>
      </c>
      <c r="AN252" t="s">
        <v>491</v>
      </c>
      <c r="AO252" t="s">
        <v>492</v>
      </c>
      <c r="AP252">
        <v>0.40500000000000003</v>
      </c>
      <c r="AQ252" t="s">
        <v>69</v>
      </c>
      <c r="AR252">
        <v>28</v>
      </c>
      <c r="AS252">
        <v>3</v>
      </c>
      <c r="AT252">
        <v>3.0020000000000002E-2</v>
      </c>
      <c r="AU252">
        <v>-5.3E-3</v>
      </c>
      <c r="AV252">
        <v>0.13428999999999999</v>
      </c>
      <c r="AW252">
        <v>-2.4490000000000001E-2</v>
      </c>
      <c r="AX252">
        <v>3.9899999999999996E-3</v>
      </c>
      <c r="AY252">
        <v>-6.8000000000000005E-4</v>
      </c>
      <c r="AZ252">
        <v>2.9680000000000002E-2</v>
      </c>
      <c r="BA252">
        <v>1</v>
      </c>
      <c r="BB252" t="s">
        <v>70</v>
      </c>
      <c r="BC252">
        <v>1.2769999999999999</v>
      </c>
      <c r="BD252">
        <v>0.79400000000000004</v>
      </c>
      <c r="BE252" t="s">
        <v>71</v>
      </c>
    </row>
    <row r="253" spans="1:57">
      <c r="A253">
        <v>174</v>
      </c>
      <c r="B253" t="s">
        <v>497</v>
      </c>
      <c r="D253" t="s">
        <v>60</v>
      </c>
      <c r="E253" t="s">
        <v>498</v>
      </c>
      <c r="F253" t="s">
        <v>499</v>
      </c>
      <c r="G253">
        <v>187</v>
      </c>
      <c r="H253" t="s">
        <v>63</v>
      </c>
      <c r="I253">
        <v>5</v>
      </c>
      <c r="J253" t="str">
        <f>HYPERLINK("Gene174-zp_tree_all.dnd", "Gene174-tree")</f>
        <v>Gene174-tree</v>
      </c>
      <c r="K253">
        <v>3</v>
      </c>
      <c r="L253">
        <v>2</v>
      </c>
      <c r="M253">
        <v>3</v>
      </c>
      <c r="N253">
        <v>2</v>
      </c>
      <c r="O253">
        <v>0.4</v>
      </c>
      <c r="P253" t="s">
        <v>86</v>
      </c>
      <c r="Q253" t="s">
        <v>124</v>
      </c>
      <c r="R253" t="s">
        <v>66</v>
      </c>
      <c r="S253" t="s">
        <v>66</v>
      </c>
      <c r="T253">
        <v>0</v>
      </c>
      <c r="U253">
        <v>0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2</v>
      </c>
      <c r="AG253">
        <v>0</v>
      </c>
      <c r="AH253">
        <v>4</v>
      </c>
      <c r="AI253">
        <v>1</v>
      </c>
      <c r="AJ253">
        <v>12</v>
      </c>
      <c r="AK253">
        <v>2</v>
      </c>
      <c r="AL253">
        <v>13</v>
      </c>
      <c r="AM253">
        <v>0</v>
      </c>
      <c r="AN253" t="s">
        <v>500</v>
      </c>
      <c r="AO253" t="s">
        <v>68</v>
      </c>
      <c r="AP253">
        <v>1.2789999999999999</v>
      </c>
      <c r="AQ253" t="s">
        <v>69</v>
      </c>
      <c r="AR253">
        <v>25</v>
      </c>
      <c r="AS253">
        <v>2</v>
      </c>
      <c r="AT253">
        <v>2.3529999999999999E-2</v>
      </c>
      <c r="AU253">
        <v>-3.5500000000000002E-3</v>
      </c>
      <c r="AV253">
        <v>0.10886999999999999</v>
      </c>
      <c r="AW253">
        <v>-1.8960000000000001E-2</v>
      </c>
      <c r="AX253">
        <v>1.8400000000000001E-3</v>
      </c>
      <c r="AY253">
        <v>-2.9999999999999997E-4</v>
      </c>
      <c r="AZ253">
        <v>1.6879999999999999E-2</v>
      </c>
      <c r="BA253">
        <v>1</v>
      </c>
      <c r="BB253" t="s">
        <v>70</v>
      </c>
      <c r="BC253">
        <v>0.43</v>
      </c>
      <c r="BD253">
        <v>0.43</v>
      </c>
      <c r="BE253" t="s">
        <v>71</v>
      </c>
    </row>
    <row r="254" spans="1:57">
      <c r="A254">
        <v>175</v>
      </c>
      <c r="B254" t="s">
        <v>501</v>
      </c>
      <c r="D254" t="s">
        <v>60</v>
      </c>
      <c r="E254" t="s">
        <v>502</v>
      </c>
      <c r="F254" t="s">
        <v>503</v>
      </c>
      <c r="G254">
        <v>208</v>
      </c>
      <c r="H254" t="s">
        <v>63</v>
      </c>
      <c r="I254">
        <v>5</v>
      </c>
      <c r="J254" t="str">
        <f>HYPERLINK("Gene175-zp_tree_all.dnd", "Gene175-tree")</f>
        <v>Gene175-tree</v>
      </c>
      <c r="K254">
        <v>3</v>
      </c>
      <c r="L254">
        <v>2</v>
      </c>
      <c r="M254">
        <v>3</v>
      </c>
      <c r="N254">
        <v>2</v>
      </c>
      <c r="O254">
        <v>0.4</v>
      </c>
      <c r="P254" t="s">
        <v>86</v>
      </c>
      <c r="Q254" t="s">
        <v>124</v>
      </c>
      <c r="R254" t="s">
        <v>66</v>
      </c>
      <c r="S254" t="s">
        <v>66</v>
      </c>
      <c r="T254">
        <v>0</v>
      </c>
      <c r="U254">
        <v>0</v>
      </c>
      <c r="V254">
        <v>8</v>
      </c>
      <c r="W254">
        <v>0</v>
      </c>
      <c r="X254">
        <v>0</v>
      </c>
      <c r="Y254">
        <v>0</v>
      </c>
      <c r="Z254">
        <v>0</v>
      </c>
      <c r="AA254">
        <v>6</v>
      </c>
      <c r="AB254">
        <v>0</v>
      </c>
      <c r="AC254">
        <v>0</v>
      </c>
      <c r="AD254">
        <v>0</v>
      </c>
      <c r="AE254">
        <v>0</v>
      </c>
      <c r="AF254">
        <v>2</v>
      </c>
      <c r="AG254">
        <v>0</v>
      </c>
      <c r="AH254">
        <v>4</v>
      </c>
      <c r="AI254">
        <v>2</v>
      </c>
      <c r="AJ254">
        <v>11</v>
      </c>
      <c r="AK254">
        <v>2</v>
      </c>
      <c r="AL254">
        <v>14</v>
      </c>
      <c r="AM254">
        <v>6</v>
      </c>
      <c r="AN254" t="s">
        <v>504</v>
      </c>
      <c r="AO254" t="s">
        <v>505</v>
      </c>
      <c r="AP254">
        <v>0.66800000000000004</v>
      </c>
      <c r="AQ254" t="s">
        <v>69</v>
      </c>
      <c r="AR254">
        <v>25</v>
      </c>
      <c r="AS254">
        <v>8</v>
      </c>
      <c r="AT254">
        <v>2.58E-2</v>
      </c>
      <c r="AU254">
        <v>-4.2700000000000004E-3</v>
      </c>
      <c r="AV254">
        <v>9.7699999999999995E-2</v>
      </c>
      <c r="AW254">
        <v>-1.5169999999999999E-2</v>
      </c>
      <c r="AX254">
        <v>8.9800000000000001E-3</v>
      </c>
      <c r="AY254">
        <v>-1.97E-3</v>
      </c>
      <c r="AZ254">
        <v>9.1920000000000002E-2</v>
      </c>
      <c r="BA254">
        <v>1</v>
      </c>
      <c r="BB254" t="s">
        <v>70</v>
      </c>
      <c r="BC254">
        <v>0.88300000000000001</v>
      </c>
      <c r="BD254">
        <v>0.41499999999999998</v>
      </c>
      <c r="BE254" t="s">
        <v>71</v>
      </c>
    </row>
    <row r="255" spans="1:57">
      <c r="A255">
        <v>176</v>
      </c>
      <c r="B255" t="s">
        <v>506</v>
      </c>
      <c r="D255" t="s">
        <v>60</v>
      </c>
      <c r="E255" t="s">
        <v>507</v>
      </c>
      <c r="F255" t="s">
        <v>74</v>
      </c>
      <c r="G255">
        <v>273</v>
      </c>
      <c r="H255" t="s">
        <v>63</v>
      </c>
      <c r="I255">
        <v>5</v>
      </c>
      <c r="J255" t="str">
        <f>HYPERLINK("Gene176-zp_tree_all.dnd", "Gene176-tree")</f>
        <v>Gene176-tree</v>
      </c>
      <c r="K255">
        <v>5</v>
      </c>
      <c r="L255">
        <v>0</v>
      </c>
      <c r="M255">
        <v>5</v>
      </c>
      <c r="N255">
        <v>0</v>
      </c>
      <c r="O255">
        <v>0</v>
      </c>
      <c r="P255" t="s">
        <v>96</v>
      </c>
      <c r="Q255" t="s">
        <v>66</v>
      </c>
      <c r="R255" t="s">
        <v>66</v>
      </c>
      <c r="S255" t="s">
        <v>66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5</v>
      </c>
      <c r="AI255">
        <v>2</v>
      </c>
      <c r="AJ255">
        <v>19</v>
      </c>
      <c r="AK255">
        <v>0</v>
      </c>
      <c r="AL255">
        <v>26</v>
      </c>
      <c r="AM255">
        <v>0</v>
      </c>
      <c r="AN255" t="s">
        <v>68</v>
      </c>
      <c r="AO255" t="s">
        <v>68</v>
      </c>
      <c r="AP255">
        <v>0</v>
      </c>
      <c r="AQ255" t="s">
        <v>69</v>
      </c>
      <c r="AR255">
        <v>45</v>
      </c>
      <c r="AS255">
        <v>0</v>
      </c>
      <c r="AT255">
        <v>2.6859999999999998E-2</v>
      </c>
      <c r="AU255">
        <v>-4.28E-3</v>
      </c>
      <c r="AV255">
        <v>0.12570999999999999</v>
      </c>
      <c r="AW255">
        <v>-2.0789999999999999E-2</v>
      </c>
      <c r="AX255">
        <v>3.2000000000000003E-4</v>
      </c>
      <c r="AY255">
        <v>-1.9000000000000001E-4</v>
      </c>
      <c r="AZ255">
        <v>2.5400000000000002E-3</v>
      </c>
      <c r="BA255">
        <v>1</v>
      </c>
      <c r="BB255" t="s">
        <v>70</v>
      </c>
      <c r="BC255">
        <v>0.88700000000000001</v>
      </c>
      <c r="BD255">
        <v>0.58099999999999996</v>
      </c>
      <c r="BE255" t="s">
        <v>71</v>
      </c>
    </row>
    <row r="256" spans="1:57">
      <c r="A256">
        <v>178</v>
      </c>
      <c r="B256" t="s">
        <v>508</v>
      </c>
      <c r="D256" t="s">
        <v>60</v>
      </c>
      <c r="E256" t="s">
        <v>509</v>
      </c>
      <c r="F256" t="s">
        <v>510</v>
      </c>
      <c r="G256">
        <v>448</v>
      </c>
      <c r="H256" t="s">
        <v>85</v>
      </c>
      <c r="I256">
        <v>4</v>
      </c>
      <c r="J256" t="str">
        <f>HYPERLINK("Gene178-zp_tree_all.dnd", "Gene178-tree")</f>
        <v>Gene178-tree</v>
      </c>
      <c r="K256">
        <v>3</v>
      </c>
      <c r="L256">
        <v>1</v>
      </c>
      <c r="M256">
        <v>3</v>
      </c>
      <c r="N256">
        <v>1</v>
      </c>
      <c r="O256">
        <v>0.25</v>
      </c>
      <c r="P256" t="s">
        <v>86</v>
      </c>
      <c r="Q256" t="s">
        <v>65</v>
      </c>
      <c r="R256" t="s">
        <v>66</v>
      </c>
      <c r="S256" t="s">
        <v>66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4</v>
      </c>
      <c r="AI256">
        <v>1</v>
      </c>
      <c r="AJ256">
        <v>73</v>
      </c>
      <c r="AK256">
        <v>1</v>
      </c>
      <c r="AL256">
        <v>0</v>
      </c>
      <c r="AM256">
        <v>1</v>
      </c>
      <c r="AN256" t="s">
        <v>511</v>
      </c>
      <c r="AO256" t="s">
        <v>68</v>
      </c>
      <c r="AP256">
        <v>0.39800000000000002</v>
      </c>
      <c r="AQ256" t="s">
        <v>69</v>
      </c>
      <c r="AR256">
        <v>73</v>
      </c>
      <c r="AS256">
        <v>2</v>
      </c>
      <c r="AT256">
        <v>2.7779999999999999E-2</v>
      </c>
      <c r="AU256">
        <v>-9.1199999999999996E-3</v>
      </c>
      <c r="AV256">
        <v>0.13124</v>
      </c>
      <c r="AW256">
        <v>-4.4920000000000002E-2</v>
      </c>
      <c r="AX256">
        <v>1.14E-3</v>
      </c>
      <c r="AY256">
        <v>-2.7E-4</v>
      </c>
      <c r="AZ256">
        <v>8.6800000000000002E-3</v>
      </c>
      <c r="BA256">
        <v>1</v>
      </c>
      <c r="BB256" t="s">
        <v>70</v>
      </c>
      <c r="BC256">
        <v>-0.78400000000000003</v>
      </c>
      <c r="BD256">
        <v>-0.78400000000000003</v>
      </c>
      <c r="BE256" t="s">
        <v>71</v>
      </c>
    </row>
    <row r="257" spans="1:57">
      <c r="A257">
        <v>179</v>
      </c>
      <c r="B257" t="s">
        <v>512</v>
      </c>
      <c r="D257" t="s">
        <v>60</v>
      </c>
      <c r="E257" t="s">
        <v>513</v>
      </c>
      <c r="F257" t="s">
        <v>514</v>
      </c>
      <c r="G257">
        <v>600</v>
      </c>
      <c r="H257" t="s">
        <v>63</v>
      </c>
      <c r="I257">
        <v>5</v>
      </c>
      <c r="J257" t="str">
        <f>HYPERLINK("Gene179-zp_tree_all.dnd", "Gene179-tree")</f>
        <v>Gene179-tree</v>
      </c>
      <c r="K257">
        <v>2</v>
      </c>
      <c r="L257">
        <v>3</v>
      </c>
      <c r="M257">
        <v>2</v>
      </c>
      <c r="N257">
        <v>3</v>
      </c>
      <c r="O257">
        <v>0.6</v>
      </c>
      <c r="P257" t="s">
        <v>124</v>
      </c>
      <c r="Q257" t="s">
        <v>86</v>
      </c>
      <c r="R257" t="s">
        <v>66</v>
      </c>
      <c r="S257" t="s">
        <v>66</v>
      </c>
      <c r="T257">
        <v>0</v>
      </c>
      <c r="U257">
        <v>0</v>
      </c>
      <c r="V257">
        <v>8</v>
      </c>
      <c r="W257">
        <v>0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0</v>
      </c>
      <c r="AE257">
        <v>0</v>
      </c>
      <c r="AF257">
        <v>4</v>
      </c>
      <c r="AG257">
        <v>0</v>
      </c>
      <c r="AH257">
        <v>5</v>
      </c>
      <c r="AI257">
        <v>2</v>
      </c>
      <c r="AJ257">
        <v>65</v>
      </c>
      <c r="AK257">
        <v>4</v>
      </c>
      <c r="AL257">
        <v>50</v>
      </c>
      <c r="AM257">
        <v>4</v>
      </c>
      <c r="AN257" t="s">
        <v>515</v>
      </c>
      <c r="AO257" t="s">
        <v>516</v>
      </c>
      <c r="AP257">
        <v>0.17499999999999999</v>
      </c>
      <c r="AQ257" t="s">
        <v>69</v>
      </c>
      <c r="AR257">
        <v>115</v>
      </c>
      <c r="AS257">
        <v>8</v>
      </c>
      <c r="AT257">
        <v>3.1559999999999998E-2</v>
      </c>
      <c r="AU257">
        <v>-4.4999999999999997E-3</v>
      </c>
      <c r="AV257">
        <v>0.13519</v>
      </c>
      <c r="AW257">
        <v>-2.0250000000000001E-2</v>
      </c>
      <c r="AX257">
        <v>2.9399999999999999E-3</v>
      </c>
      <c r="AY257">
        <v>-5.1999999999999995E-4</v>
      </c>
      <c r="AZ257">
        <v>2.1729999999999999E-2</v>
      </c>
      <c r="BA257">
        <v>1</v>
      </c>
      <c r="BB257" t="s">
        <v>70</v>
      </c>
      <c r="BC257">
        <v>0.502</v>
      </c>
      <c r="BD257">
        <v>4.5999999999999999E-2</v>
      </c>
      <c r="BE257" t="s">
        <v>71</v>
      </c>
    </row>
    <row r="258" spans="1:57">
      <c r="A258">
        <v>188</v>
      </c>
      <c r="B258" t="s">
        <v>519</v>
      </c>
      <c r="D258" t="s">
        <v>60</v>
      </c>
      <c r="E258" t="s">
        <v>520</v>
      </c>
      <c r="F258" t="s">
        <v>521</v>
      </c>
      <c r="G258">
        <v>100</v>
      </c>
      <c r="H258" t="s">
        <v>85</v>
      </c>
      <c r="I258">
        <v>4</v>
      </c>
      <c r="J258" t="str">
        <f>HYPERLINK("Gene188-zp_tree_all.dnd", "Gene188-tree")</f>
        <v>Gene188-tree</v>
      </c>
      <c r="K258">
        <v>2</v>
      </c>
      <c r="L258">
        <v>2</v>
      </c>
      <c r="M258">
        <v>2</v>
      </c>
      <c r="N258">
        <v>2</v>
      </c>
      <c r="O258">
        <v>0.5</v>
      </c>
      <c r="P258" t="s">
        <v>124</v>
      </c>
      <c r="Q258" t="s">
        <v>124</v>
      </c>
      <c r="R258" t="s">
        <v>66</v>
      </c>
      <c r="S258" t="s">
        <v>66</v>
      </c>
      <c r="T258">
        <v>0</v>
      </c>
      <c r="U258">
        <v>0</v>
      </c>
      <c r="V258">
        <v>2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2</v>
      </c>
      <c r="AG258">
        <v>0</v>
      </c>
      <c r="AH258">
        <v>4</v>
      </c>
      <c r="AI258">
        <v>1</v>
      </c>
      <c r="AJ258">
        <v>7</v>
      </c>
      <c r="AK258">
        <v>2</v>
      </c>
      <c r="AL258">
        <v>7</v>
      </c>
      <c r="AM258">
        <v>0</v>
      </c>
      <c r="AN258" t="s">
        <v>522</v>
      </c>
      <c r="AO258" t="s">
        <v>68</v>
      </c>
      <c r="AP258">
        <v>1.6220000000000001</v>
      </c>
      <c r="AQ258" t="s">
        <v>69</v>
      </c>
      <c r="AR258">
        <v>14</v>
      </c>
      <c r="AS258">
        <v>2</v>
      </c>
      <c r="AT258">
        <v>2.8889999999999999E-2</v>
      </c>
      <c r="AU258">
        <v>-4.28E-3</v>
      </c>
      <c r="AV258">
        <v>0.12415</v>
      </c>
      <c r="AW258">
        <v>-2.086E-2</v>
      </c>
      <c r="AX258">
        <v>5.0200000000000002E-3</v>
      </c>
      <c r="AY258">
        <v>-1.58E-3</v>
      </c>
      <c r="AZ258">
        <v>4.045E-2</v>
      </c>
      <c r="BA258">
        <v>1</v>
      </c>
      <c r="BB258" t="s">
        <v>70</v>
      </c>
      <c r="BC258">
        <v>1.369</v>
      </c>
      <c r="BD258">
        <v>0.04</v>
      </c>
      <c r="BE258" t="s">
        <v>71</v>
      </c>
    </row>
    <row r="259" spans="1:57">
      <c r="A259">
        <v>189</v>
      </c>
      <c r="B259" t="s">
        <v>523</v>
      </c>
      <c r="D259" t="s">
        <v>60</v>
      </c>
      <c r="E259" t="s">
        <v>524</v>
      </c>
      <c r="F259" t="s">
        <v>525</v>
      </c>
      <c r="G259">
        <v>390</v>
      </c>
      <c r="H259" t="s">
        <v>85</v>
      </c>
      <c r="I259">
        <v>4</v>
      </c>
      <c r="J259" t="str">
        <f>HYPERLINK("Gene189-zp_tree_all.dnd", "Gene189-tree")</f>
        <v>Gene189-tree</v>
      </c>
      <c r="K259">
        <v>1</v>
      </c>
      <c r="L259">
        <v>3</v>
      </c>
      <c r="M259">
        <v>1</v>
      </c>
      <c r="N259">
        <v>3</v>
      </c>
      <c r="O259">
        <v>0.75</v>
      </c>
      <c r="P259" t="s">
        <v>65</v>
      </c>
      <c r="Q259" t="s">
        <v>86</v>
      </c>
      <c r="R259" t="s">
        <v>66</v>
      </c>
      <c r="S259" t="s">
        <v>66</v>
      </c>
      <c r="T259">
        <v>0</v>
      </c>
      <c r="U259">
        <v>0</v>
      </c>
      <c r="V259">
        <v>16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16</v>
      </c>
      <c r="AG259">
        <v>0</v>
      </c>
      <c r="AH259">
        <v>4</v>
      </c>
      <c r="AI259">
        <v>1</v>
      </c>
      <c r="AJ259">
        <v>55</v>
      </c>
      <c r="AK259">
        <v>14</v>
      </c>
      <c r="AL259">
        <v>11</v>
      </c>
      <c r="AM259">
        <v>2</v>
      </c>
      <c r="AN259" t="s">
        <v>526</v>
      </c>
      <c r="AO259" t="s">
        <v>527</v>
      </c>
      <c r="AP259">
        <v>1.038</v>
      </c>
      <c r="AQ259" t="s">
        <v>69</v>
      </c>
      <c r="AR259">
        <v>66</v>
      </c>
      <c r="AS259">
        <v>16</v>
      </c>
      <c r="AT259">
        <v>3.5040000000000002E-2</v>
      </c>
      <c r="AU259">
        <v>-2.99E-3</v>
      </c>
      <c r="AV259">
        <v>0.12178</v>
      </c>
      <c r="AW259">
        <v>-9.9500000000000005E-3</v>
      </c>
      <c r="AX259">
        <v>9.5499999999999995E-3</v>
      </c>
      <c r="AY259">
        <v>-1.32E-3</v>
      </c>
      <c r="AZ259">
        <v>7.8450000000000006E-2</v>
      </c>
      <c r="BA259">
        <v>1</v>
      </c>
      <c r="BB259" t="s">
        <v>70</v>
      </c>
      <c r="BC259">
        <v>2.3E-2</v>
      </c>
      <c r="BD259">
        <v>-0.23200000000000001</v>
      </c>
      <c r="BE259" t="s">
        <v>71</v>
      </c>
    </row>
    <row r="260" spans="1:57">
      <c r="A260">
        <v>206</v>
      </c>
      <c r="B260" t="s">
        <v>528</v>
      </c>
      <c r="D260" t="s">
        <v>60</v>
      </c>
      <c r="E260" t="s">
        <v>529</v>
      </c>
      <c r="F260" t="s">
        <v>530</v>
      </c>
      <c r="G260">
        <v>82</v>
      </c>
      <c r="H260" t="s">
        <v>63</v>
      </c>
      <c r="I260">
        <v>5</v>
      </c>
      <c r="J260" t="str">
        <f>HYPERLINK("Gene206-zp_tree_all.dnd", "Gene206-tree")</f>
        <v>Gene206-tree</v>
      </c>
      <c r="K260">
        <v>2</v>
      </c>
      <c r="L260">
        <v>3</v>
      </c>
      <c r="M260">
        <v>1</v>
      </c>
      <c r="N260">
        <v>3</v>
      </c>
      <c r="O260">
        <v>0.75</v>
      </c>
      <c r="P260" t="s">
        <v>65</v>
      </c>
      <c r="Q260" t="s">
        <v>86</v>
      </c>
      <c r="R260" t="s">
        <v>66</v>
      </c>
      <c r="S260" t="s">
        <v>66</v>
      </c>
      <c r="T260">
        <v>0</v>
      </c>
      <c r="U260">
        <v>0</v>
      </c>
      <c r="V260">
        <v>4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3</v>
      </c>
      <c r="AG260">
        <v>0</v>
      </c>
      <c r="AH260">
        <v>4</v>
      </c>
      <c r="AI260">
        <v>1</v>
      </c>
      <c r="AJ260">
        <v>6</v>
      </c>
      <c r="AK260">
        <v>3</v>
      </c>
      <c r="AL260">
        <v>4</v>
      </c>
      <c r="AM260">
        <v>1</v>
      </c>
      <c r="AN260" t="s">
        <v>531</v>
      </c>
      <c r="AO260" t="s">
        <v>532</v>
      </c>
      <c r="AP260">
        <v>1.4990000000000001</v>
      </c>
      <c r="AQ260" t="s">
        <v>69</v>
      </c>
      <c r="AR260">
        <v>10</v>
      </c>
      <c r="AS260">
        <v>4</v>
      </c>
      <c r="AT260">
        <v>3.184E-2</v>
      </c>
      <c r="AU260">
        <v>-4.4299999999999999E-3</v>
      </c>
      <c r="AV260">
        <v>0.12953000000000001</v>
      </c>
      <c r="AW260">
        <v>-2.112E-2</v>
      </c>
      <c r="AX260">
        <v>1.1050000000000001E-2</v>
      </c>
      <c r="AY260">
        <v>-1.4400000000000001E-3</v>
      </c>
      <c r="AZ260">
        <v>8.5279999999999995E-2</v>
      </c>
      <c r="BA260">
        <v>1</v>
      </c>
      <c r="BB260" t="s">
        <v>70</v>
      </c>
      <c r="BC260">
        <v>8.6999999999999994E-2</v>
      </c>
      <c r="BD260">
        <v>8.6999999999999994E-2</v>
      </c>
      <c r="BE260" t="s">
        <v>71</v>
      </c>
    </row>
    <row r="261" spans="1:57">
      <c r="A261">
        <v>207</v>
      </c>
      <c r="B261" t="s">
        <v>533</v>
      </c>
      <c r="D261" t="s">
        <v>60</v>
      </c>
      <c r="E261" t="s">
        <v>534</v>
      </c>
      <c r="F261" t="s">
        <v>74</v>
      </c>
      <c r="G261">
        <v>63</v>
      </c>
      <c r="H261" t="s">
        <v>63</v>
      </c>
      <c r="I261">
        <v>5</v>
      </c>
      <c r="J261" t="str">
        <f>HYPERLINK("Gene207-zp_tree_all.dnd", "Gene207-tree")</f>
        <v>Gene207-tree</v>
      </c>
      <c r="K261">
        <v>3</v>
      </c>
      <c r="L261">
        <v>2</v>
      </c>
      <c r="M261">
        <v>3</v>
      </c>
      <c r="N261">
        <v>2</v>
      </c>
      <c r="O261">
        <v>0.4</v>
      </c>
      <c r="P261" t="s">
        <v>86</v>
      </c>
      <c r="Q261" t="s">
        <v>124</v>
      </c>
      <c r="R261" t="s">
        <v>66</v>
      </c>
      <c r="S261" t="s">
        <v>66</v>
      </c>
      <c r="T261">
        <v>0</v>
      </c>
      <c r="U261">
        <v>0</v>
      </c>
      <c r="V261">
        <v>4</v>
      </c>
      <c r="W261">
        <v>0</v>
      </c>
      <c r="X261">
        <v>0</v>
      </c>
      <c r="Y261">
        <v>0</v>
      </c>
      <c r="Z261">
        <v>0</v>
      </c>
      <c r="AA261">
        <v>2</v>
      </c>
      <c r="AB261">
        <v>0</v>
      </c>
      <c r="AC261">
        <v>0</v>
      </c>
      <c r="AD261">
        <v>0</v>
      </c>
      <c r="AE261">
        <v>0</v>
      </c>
      <c r="AF261">
        <v>2</v>
      </c>
      <c r="AG261">
        <v>0</v>
      </c>
      <c r="AH261">
        <v>4</v>
      </c>
      <c r="AI261">
        <v>1</v>
      </c>
      <c r="AJ261">
        <v>5</v>
      </c>
      <c r="AK261">
        <v>2</v>
      </c>
      <c r="AL261">
        <v>4</v>
      </c>
      <c r="AM261">
        <v>2</v>
      </c>
      <c r="AN261" t="s">
        <v>535</v>
      </c>
      <c r="AO261" t="s">
        <v>536</v>
      </c>
      <c r="AP261">
        <v>0.23699999999999999</v>
      </c>
      <c r="AQ261" t="s">
        <v>69</v>
      </c>
      <c r="AR261">
        <v>9</v>
      </c>
      <c r="AS261">
        <v>4</v>
      </c>
      <c r="AT261">
        <v>3.2800000000000003E-2</v>
      </c>
      <c r="AU261">
        <v>-5.7400000000000003E-3</v>
      </c>
      <c r="AV261">
        <v>0.12559999999999999</v>
      </c>
      <c r="AW261">
        <v>-2.4150000000000001E-2</v>
      </c>
      <c r="AX261">
        <v>1.3350000000000001E-2</v>
      </c>
      <c r="AY261">
        <v>-2.5100000000000001E-3</v>
      </c>
      <c r="AZ261">
        <v>0.10631</v>
      </c>
      <c r="BA261">
        <v>0.99</v>
      </c>
      <c r="BB261" t="s">
        <v>70</v>
      </c>
      <c r="BC261">
        <v>0.55200000000000005</v>
      </c>
      <c r="BD261">
        <v>0.55200000000000005</v>
      </c>
      <c r="BE261" t="s">
        <v>71</v>
      </c>
    </row>
    <row r="262" spans="1:57">
      <c r="A262">
        <v>207</v>
      </c>
      <c r="B262" t="s">
        <v>533</v>
      </c>
      <c r="D262" t="s">
        <v>60</v>
      </c>
      <c r="E262" t="s">
        <v>534</v>
      </c>
      <c r="F262" t="s">
        <v>74</v>
      </c>
      <c r="G262">
        <v>63</v>
      </c>
      <c r="H262" t="s">
        <v>63</v>
      </c>
      <c r="I262">
        <v>5</v>
      </c>
      <c r="J262" t="str">
        <f>HYPERLINK("Gene207-zp_tree_all.dnd", "Gene207-tree")</f>
        <v>Gene207-tree</v>
      </c>
      <c r="K262">
        <v>3</v>
      </c>
      <c r="L262">
        <v>2</v>
      </c>
      <c r="M262">
        <v>3</v>
      </c>
      <c r="N262">
        <v>2</v>
      </c>
      <c r="O262">
        <v>0.4</v>
      </c>
      <c r="P262" t="s">
        <v>86</v>
      </c>
      <c r="Q262" t="s">
        <v>124</v>
      </c>
      <c r="R262" t="s">
        <v>66</v>
      </c>
      <c r="S262" t="s">
        <v>66</v>
      </c>
      <c r="T262">
        <v>0</v>
      </c>
      <c r="U262">
        <v>0</v>
      </c>
      <c r="V262">
        <v>4</v>
      </c>
      <c r="W262">
        <v>0</v>
      </c>
      <c r="X262">
        <v>0</v>
      </c>
      <c r="Y262">
        <v>0</v>
      </c>
      <c r="Z262">
        <v>0</v>
      </c>
      <c r="AA262">
        <v>2</v>
      </c>
      <c r="AB262">
        <v>0</v>
      </c>
      <c r="AC262">
        <v>0</v>
      </c>
      <c r="AD262">
        <v>0</v>
      </c>
      <c r="AE262">
        <v>0</v>
      </c>
      <c r="AF262">
        <v>2</v>
      </c>
      <c r="AG262">
        <v>0</v>
      </c>
      <c r="AH262">
        <v>4</v>
      </c>
      <c r="AI262">
        <v>1</v>
      </c>
      <c r="AJ262">
        <v>5</v>
      </c>
      <c r="AK262">
        <v>2</v>
      </c>
      <c r="AL262">
        <v>4</v>
      </c>
      <c r="AM262">
        <v>2</v>
      </c>
      <c r="AN262" t="s">
        <v>535</v>
      </c>
      <c r="AO262" t="s">
        <v>536</v>
      </c>
      <c r="AP262">
        <v>0.23699999999999999</v>
      </c>
      <c r="AQ262" t="s">
        <v>69</v>
      </c>
      <c r="AR262">
        <v>9</v>
      </c>
      <c r="AS262">
        <v>4</v>
      </c>
      <c r="AT262">
        <v>3.2800000000000003E-2</v>
      </c>
      <c r="AU262">
        <v>-5.7400000000000003E-3</v>
      </c>
      <c r="AV262">
        <v>0.12559999999999999</v>
      </c>
      <c r="AW262">
        <v>-2.4150000000000001E-2</v>
      </c>
      <c r="AX262">
        <v>1.3350000000000001E-2</v>
      </c>
      <c r="AY262">
        <v>-2.5100000000000001E-3</v>
      </c>
      <c r="AZ262">
        <v>0.10631</v>
      </c>
      <c r="BA262">
        <v>0.99</v>
      </c>
      <c r="BB262" t="s">
        <v>70</v>
      </c>
      <c r="BC262">
        <v>0.55200000000000005</v>
      </c>
      <c r="BD262">
        <v>0.55200000000000005</v>
      </c>
      <c r="BE262" t="s">
        <v>71</v>
      </c>
    </row>
    <row r="263" spans="1:57">
      <c r="A263">
        <v>232</v>
      </c>
      <c r="B263" t="s">
        <v>540</v>
      </c>
      <c r="D263" t="s">
        <v>60</v>
      </c>
      <c r="E263" t="s">
        <v>541</v>
      </c>
      <c r="F263" t="s">
        <v>74</v>
      </c>
      <c r="G263">
        <v>322</v>
      </c>
      <c r="H263" t="s">
        <v>63</v>
      </c>
      <c r="I263">
        <v>5</v>
      </c>
      <c r="J263" t="str">
        <f>HYPERLINK("Gene232-zp_tree_all.dnd", "Gene232-tree")</f>
        <v>Gene232-tree</v>
      </c>
      <c r="K263">
        <v>4</v>
      </c>
      <c r="L263">
        <v>1</v>
      </c>
      <c r="M263">
        <v>4</v>
      </c>
      <c r="N263">
        <v>1</v>
      </c>
      <c r="O263">
        <v>0.2</v>
      </c>
      <c r="P263" t="s">
        <v>64</v>
      </c>
      <c r="Q263" t="s">
        <v>65</v>
      </c>
      <c r="R263" t="s">
        <v>66</v>
      </c>
      <c r="S263" t="s">
        <v>66</v>
      </c>
      <c r="T263">
        <v>0</v>
      </c>
      <c r="U263">
        <v>0</v>
      </c>
      <c r="V263">
        <v>6</v>
      </c>
      <c r="W263">
        <v>0</v>
      </c>
      <c r="X263">
        <v>0</v>
      </c>
      <c r="Y263">
        <v>0</v>
      </c>
      <c r="Z263">
        <v>0</v>
      </c>
      <c r="AA263">
        <v>5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5</v>
      </c>
      <c r="AI263">
        <v>2</v>
      </c>
      <c r="AJ263">
        <v>18</v>
      </c>
      <c r="AK263">
        <v>1</v>
      </c>
      <c r="AL263">
        <v>28</v>
      </c>
      <c r="AM263">
        <v>6</v>
      </c>
      <c r="AN263" t="s">
        <v>542</v>
      </c>
      <c r="AO263" t="s">
        <v>543</v>
      </c>
      <c r="AP263">
        <v>0.53900000000000003</v>
      </c>
      <c r="AQ263" t="s">
        <v>69</v>
      </c>
      <c r="AR263">
        <v>46</v>
      </c>
      <c r="AS263">
        <v>7</v>
      </c>
      <c r="AT263">
        <v>2.878E-2</v>
      </c>
      <c r="AU263">
        <v>-5.2599999999999999E-3</v>
      </c>
      <c r="AV263">
        <v>0.12816</v>
      </c>
      <c r="AW263">
        <v>-2.3460000000000002E-2</v>
      </c>
      <c r="AX263">
        <v>5.3E-3</v>
      </c>
      <c r="AY263">
        <v>-1.09E-3</v>
      </c>
      <c r="AZ263">
        <v>4.1369999999999997E-2</v>
      </c>
      <c r="BA263">
        <v>1</v>
      </c>
      <c r="BB263" t="s">
        <v>70</v>
      </c>
      <c r="BC263">
        <v>0.85899999999999999</v>
      </c>
      <c r="BD263">
        <v>0.73799999999999999</v>
      </c>
      <c r="BE263" t="s">
        <v>71</v>
      </c>
    </row>
    <row r="264" spans="1:57">
      <c r="A264">
        <v>259</v>
      </c>
      <c r="B264" t="s">
        <v>551</v>
      </c>
      <c r="D264" t="s">
        <v>60</v>
      </c>
      <c r="E264" t="s">
        <v>552</v>
      </c>
      <c r="F264" t="s">
        <v>553</v>
      </c>
      <c r="G264">
        <v>142</v>
      </c>
      <c r="H264" t="s">
        <v>85</v>
      </c>
      <c r="I264">
        <v>4</v>
      </c>
      <c r="J264" t="str">
        <f>HYPERLINK("Gene259-zp_tree_all.dnd", "Gene259-tree")</f>
        <v>Gene259-tree</v>
      </c>
      <c r="K264">
        <v>1</v>
      </c>
      <c r="L264">
        <v>3</v>
      </c>
      <c r="M264">
        <v>1</v>
      </c>
      <c r="N264">
        <v>3</v>
      </c>
      <c r="O264">
        <v>0.75</v>
      </c>
      <c r="P264" t="s">
        <v>65</v>
      </c>
      <c r="Q264" t="s">
        <v>86</v>
      </c>
      <c r="R264" t="s">
        <v>66</v>
      </c>
      <c r="S264" t="s">
        <v>66</v>
      </c>
      <c r="T264">
        <v>0</v>
      </c>
      <c r="U264">
        <v>0</v>
      </c>
      <c r="V264">
        <v>6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6</v>
      </c>
      <c r="AG264">
        <v>0</v>
      </c>
      <c r="AH264">
        <v>4</v>
      </c>
      <c r="AI264">
        <v>1</v>
      </c>
      <c r="AJ264">
        <v>22</v>
      </c>
      <c r="AK264">
        <v>6</v>
      </c>
      <c r="AL264">
        <v>4</v>
      </c>
      <c r="AM264">
        <v>0</v>
      </c>
      <c r="AN264" t="s">
        <v>554</v>
      </c>
      <c r="AO264" t="s">
        <v>68</v>
      </c>
      <c r="AP264">
        <v>1.8879999999999999</v>
      </c>
      <c r="AQ264" t="s">
        <v>69</v>
      </c>
      <c r="AR264">
        <v>26</v>
      </c>
      <c r="AS264">
        <v>6</v>
      </c>
      <c r="AT264">
        <v>3.7560000000000003E-2</v>
      </c>
      <c r="AU264">
        <v>-5.5900000000000004E-3</v>
      </c>
      <c r="AV264">
        <v>0.14967</v>
      </c>
      <c r="AW264">
        <v>-2.5219999999999999E-2</v>
      </c>
      <c r="AX264">
        <v>9.1900000000000003E-3</v>
      </c>
      <c r="AY264">
        <v>-1.6199999999999999E-3</v>
      </c>
      <c r="AZ264">
        <v>6.1429999999999998E-2</v>
      </c>
      <c r="BA264">
        <v>1</v>
      </c>
      <c r="BB264" t="s">
        <v>70</v>
      </c>
      <c r="BC264">
        <v>-0.23</v>
      </c>
      <c r="BD264">
        <v>-0.23</v>
      </c>
      <c r="BE264" t="s">
        <v>71</v>
      </c>
    </row>
    <row r="265" spans="1:57">
      <c r="A265">
        <v>263</v>
      </c>
      <c r="B265" t="s">
        <v>555</v>
      </c>
      <c r="D265" t="s">
        <v>60</v>
      </c>
      <c r="E265" t="s">
        <v>556</v>
      </c>
      <c r="F265" t="s">
        <v>557</v>
      </c>
      <c r="G265">
        <v>70</v>
      </c>
      <c r="H265" t="s">
        <v>63</v>
      </c>
      <c r="I265">
        <v>5</v>
      </c>
      <c r="J265" t="str">
        <f>HYPERLINK("Gene263-zp_tree_all.dnd", "Gene263-tree")</f>
        <v>Gene263-tree</v>
      </c>
      <c r="K265">
        <v>5</v>
      </c>
      <c r="L265">
        <v>0</v>
      </c>
      <c r="M265">
        <v>5</v>
      </c>
      <c r="N265">
        <v>0</v>
      </c>
      <c r="O265">
        <v>0</v>
      </c>
      <c r="P265" t="s">
        <v>96</v>
      </c>
      <c r="Q265" t="s">
        <v>66</v>
      </c>
      <c r="R265" t="s">
        <v>66</v>
      </c>
      <c r="S265" t="s">
        <v>66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5</v>
      </c>
      <c r="AI265">
        <v>1</v>
      </c>
      <c r="AJ265">
        <v>10</v>
      </c>
      <c r="AK265">
        <v>0</v>
      </c>
      <c r="AL265">
        <v>2</v>
      </c>
      <c r="AM265">
        <v>0</v>
      </c>
      <c r="AN265" t="s">
        <v>68</v>
      </c>
      <c r="AO265" t="s">
        <v>68</v>
      </c>
      <c r="AP265">
        <v>0</v>
      </c>
      <c r="AQ265" t="s">
        <v>69</v>
      </c>
      <c r="AR265">
        <v>12</v>
      </c>
      <c r="AS265">
        <v>0</v>
      </c>
      <c r="AT265">
        <v>2.4760000000000001E-2</v>
      </c>
      <c r="AU265">
        <v>-3.49E-3</v>
      </c>
      <c r="AV265">
        <v>0.10851</v>
      </c>
      <c r="AW265">
        <v>-1.6379999999999999E-2</v>
      </c>
      <c r="AX265">
        <v>0</v>
      </c>
      <c r="AY265">
        <v>0</v>
      </c>
      <c r="AZ265">
        <v>0</v>
      </c>
      <c r="BA265">
        <v>1</v>
      </c>
      <c r="BB265" t="s">
        <v>70</v>
      </c>
      <c r="BC265">
        <v>-0.70299999999999996</v>
      </c>
      <c r="BD265">
        <v>-0.70299999999999996</v>
      </c>
      <c r="BE265" t="s">
        <v>71</v>
      </c>
    </row>
    <row r="266" spans="1:57">
      <c r="A266">
        <v>275</v>
      </c>
      <c r="B266" t="s">
        <v>558</v>
      </c>
      <c r="D266" t="s">
        <v>60</v>
      </c>
      <c r="E266" t="s">
        <v>559</v>
      </c>
      <c r="F266" t="s">
        <v>560</v>
      </c>
      <c r="G266">
        <v>246</v>
      </c>
      <c r="H266" t="s">
        <v>85</v>
      </c>
      <c r="I266">
        <v>4</v>
      </c>
      <c r="J266" t="str">
        <f>HYPERLINK("Gene275-zp_tree_all.dnd", "Gene275-tree")</f>
        <v>Gene275-tree</v>
      </c>
      <c r="K266">
        <v>0</v>
      </c>
      <c r="L266">
        <v>4</v>
      </c>
      <c r="M266">
        <v>0</v>
      </c>
      <c r="N266">
        <v>4</v>
      </c>
      <c r="O266">
        <v>1</v>
      </c>
      <c r="P266" t="s">
        <v>66</v>
      </c>
      <c r="Q266" t="s">
        <v>64</v>
      </c>
      <c r="R266" t="s">
        <v>66</v>
      </c>
      <c r="S266" t="s">
        <v>66</v>
      </c>
      <c r="T266">
        <v>0</v>
      </c>
      <c r="U266">
        <v>0</v>
      </c>
      <c r="V266">
        <v>10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10</v>
      </c>
      <c r="AG266">
        <v>0</v>
      </c>
      <c r="AH266">
        <v>4</v>
      </c>
      <c r="AI266">
        <v>0</v>
      </c>
      <c r="AJ266">
        <v>18</v>
      </c>
      <c r="AK266">
        <v>11</v>
      </c>
      <c r="AL266">
        <v>0</v>
      </c>
      <c r="AM266">
        <v>0</v>
      </c>
      <c r="AN266" t="s">
        <v>561</v>
      </c>
      <c r="AO266" t="s">
        <v>68</v>
      </c>
      <c r="AP266">
        <v>1.0760000000000001</v>
      </c>
      <c r="AQ266" t="s">
        <v>69</v>
      </c>
      <c r="AR266">
        <v>18</v>
      </c>
      <c r="AS266">
        <v>11</v>
      </c>
      <c r="AT266">
        <v>1.9650000000000001E-2</v>
      </c>
      <c r="AU266">
        <v>-4.3899999999999998E-3</v>
      </c>
      <c r="AV266">
        <v>5.722E-2</v>
      </c>
      <c r="AW266">
        <v>-1.383E-2</v>
      </c>
      <c r="AX266">
        <v>9.6900000000000007E-3</v>
      </c>
      <c r="AY266">
        <v>-2.0699999999999998E-3</v>
      </c>
      <c r="AZ266">
        <v>0.16929</v>
      </c>
      <c r="BA266">
        <v>1</v>
      </c>
      <c r="BB266" t="s">
        <v>70</v>
      </c>
      <c r="BC266">
        <v>-0.86099999999999999</v>
      </c>
      <c r="BD266">
        <v>-0.86099999999999999</v>
      </c>
      <c r="BE266" t="s">
        <v>71</v>
      </c>
    </row>
    <row r="267" spans="1:57">
      <c r="A267">
        <v>276</v>
      </c>
      <c r="B267" t="s">
        <v>562</v>
      </c>
      <c r="D267" t="s">
        <v>60</v>
      </c>
      <c r="E267" t="s">
        <v>563</v>
      </c>
      <c r="F267" t="s">
        <v>564</v>
      </c>
      <c r="G267">
        <v>386</v>
      </c>
      <c r="H267" t="s">
        <v>85</v>
      </c>
      <c r="I267">
        <v>4</v>
      </c>
      <c r="J267" t="str">
        <f>HYPERLINK("Gene276-zp_tree_all.dnd", "Gene276-tree")</f>
        <v>Gene276-tree</v>
      </c>
      <c r="K267">
        <v>0</v>
      </c>
      <c r="L267">
        <v>4</v>
      </c>
      <c r="M267">
        <v>0</v>
      </c>
      <c r="N267">
        <v>4</v>
      </c>
      <c r="O267">
        <v>1</v>
      </c>
      <c r="P267" t="s">
        <v>66</v>
      </c>
      <c r="Q267" t="s">
        <v>64</v>
      </c>
      <c r="R267" t="s">
        <v>66</v>
      </c>
      <c r="S267" t="s">
        <v>66</v>
      </c>
      <c r="T267">
        <v>0</v>
      </c>
      <c r="U267">
        <v>0</v>
      </c>
      <c r="V267">
        <v>20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20</v>
      </c>
      <c r="AG267">
        <v>0</v>
      </c>
      <c r="AH267">
        <v>4</v>
      </c>
      <c r="AI267">
        <v>1</v>
      </c>
      <c r="AJ267">
        <v>46</v>
      </c>
      <c r="AK267">
        <v>18</v>
      </c>
      <c r="AL267">
        <v>5</v>
      </c>
      <c r="AM267">
        <v>2</v>
      </c>
      <c r="AN267" t="s">
        <v>565</v>
      </c>
      <c r="AO267" t="s">
        <v>566</v>
      </c>
      <c r="AP267">
        <v>6.8000000000000005E-2</v>
      </c>
      <c r="AQ267" t="s">
        <v>69</v>
      </c>
      <c r="AR267">
        <v>51</v>
      </c>
      <c r="AS267">
        <v>20</v>
      </c>
      <c r="AT267">
        <v>3.1379999999999998E-2</v>
      </c>
      <c r="AU267">
        <v>-7.2500000000000004E-3</v>
      </c>
      <c r="AV267">
        <v>0.10724</v>
      </c>
      <c r="AW267">
        <v>-2.7040000000000002E-2</v>
      </c>
      <c r="AX267">
        <v>1.171E-2</v>
      </c>
      <c r="AY267">
        <v>-2.3999999999999998E-3</v>
      </c>
      <c r="AZ267">
        <v>0.10920000000000001</v>
      </c>
      <c r="BA267">
        <v>1</v>
      </c>
      <c r="BB267" t="s">
        <v>70</v>
      </c>
      <c r="BC267">
        <v>-0.505</v>
      </c>
      <c r="BD267">
        <v>-0.505</v>
      </c>
      <c r="BE267" t="s">
        <v>71</v>
      </c>
    </row>
    <row r="268" spans="1:57">
      <c r="A268">
        <v>291</v>
      </c>
      <c r="B268" t="s">
        <v>567</v>
      </c>
      <c r="D268" t="s">
        <v>60</v>
      </c>
      <c r="E268" t="s">
        <v>568</v>
      </c>
      <c r="F268" t="s">
        <v>74</v>
      </c>
      <c r="G268">
        <v>192</v>
      </c>
      <c r="H268" t="s">
        <v>63</v>
      </c>
      <c r="I268">
        <v>5</v>
      </c>
      <c r="J268" t="str">
        <f>HYPERLINK("Gene291-zp_tree_all.dnd", "Gene291-tree")</f>
        <v>Gene291-tree</v>
      </c>
      <c r="K268">
        <v>4</v>
      </c>
      <c r="L268">
        <v>1</v>
      </c>
      <c r="M268">
        <v>4</v>
      </c>
      <c r="N268">
        <v>1</v>
      </c>
      <c r="O268">
        <v>0.2</v>
      </c>
      <c r="P268" t="s">
        <v>64</v>
      </c>
      <c r="Q268" t="s">
        <v>65</v>
      </c>
      <c r="R268" t="s">
        <v>66</v>
      </c>
      <c r="S268" t="s">
        <v>66</v>
      </c>
      <c r="T268">
        <v>0</v>
      </c>
      <c r="U268">
        <v>0</v>
      </c>
      <c r="V268">
        <v>2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4</v>
      </c>
      <c r="AI268">
        <v>2</v>
      </c>
      <c r="AJ268">
        <v>13</v>
      </c>
      <c r="AK268">
        <v>1</v>
      </c>
      <c r="AL268">
        <v>15</v>
      </c>
      <c r="AM268">
        <v>1</v>
      </c>
      <c r="AN268" t="s">
        <v>569</v>
      </c>
      <c r="AO268" t="s">
        <v>570</v>
      </c>
      <c r="AP268">
        <v>7.5999999999999998E-2</v>
      </c>
      <c r="AQ268" t="s">
        <v>69</v>
      </c>
      <c r="AR268">
        <v>28</v>
      </c>
      <c r="AS268">
        <v>2</v>
      </c>
      <c r="AT268">
        <v>2.5000000000000001E-2</v>
      </c>
      <c r="AU268">
        <v>-4.1000000000000003E-3</v>
      </c>
      <c r="AV268">
        <v>0.11365</v>
      </c>
      <c r="AW268">
        <v>-1.8890000000000001E-2</v>
      </c>
      <c r="AX268">
        <v>2.2499999999999998E-3</v>
      </c>
      <c r="AY268">
        <v>-5.5000000000000003E-4</v>
      </c>
      <c r="AZ268">
        <v>1.976E-2</v>
      </c>
      <c r="BA268">
        <v>1</v>
      </c>
      <c r="BB268" t="s">
        <v>70</v>
      </c>
      <c r="BC268">
        <v>0.53300000000000003</v>
      </c>
      <c r="BD268">
        <v>0.53300000000000003</v>
      </c>
      <c r="BE268" t="s">
        <v>71</v>
      </c>
    </row>
    <row r="269" spans="1:57">
      <c r="A269">
        <v>294</v>
      </c>
      <c r="B269" t="s">
        <v>574</v>
      </c>
      <c r="D269" t="s">
        <v>60</v>
      </c>
      <c r="E269" t="s">
        <v>575</v>
      </c>
      <c r="F269" t="s">
        <v>74</v>
      </c>
      <c r="G269">
        <v>363</v>
      </c>
      <c r="H269" t="s">
        <v>85</v>
      </c>
      <c r="I269">
        <v>4</v>
      </c>
      <c r="J269" t="str">
        <f>HYPERLINK("Gene294-zp_tree_all.dnd", "Gene294-tree")</f>
        <v>Gene294-tree</v>
      </c>
      <c r="K269">
        <v>3</v>
      </c>
      <c r="L269">
        <v>1</v>
      </c>
      <c r="M269">
        <v>3</v>
      </c>
      <c r="N269">
        <v>1</v>
      </c>
      <c r="O269">
        <v>0.25</v>
      </c>
      <c r="P269" t="s">
        <v>86</v>
      </c>
      <c r="Q269" t="s">
        <v>65</v>
      </c>
      <c r="R269" t="s">
        <v>66</v>
      </c>
      <c r="S269" t="s">
        <v>66</v>
      </c>
      <c r="T269">
        <v>0</v>
      </c>
      <c r="U269">
        <v>0</v>
      </c>
      <c r="V269">
        <v>3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3</v>
      </c>
      <c r="AG269">
        <v>0</v>
      </c>
      <c r="AH269">
        <v>4</v>
      </c>
      <c r="AI269">
        <v>1</v>
      </c>
      <c r="AJ269">
        <v>61</v>
      </c>
      <c r="AK269">
        <v>3</v>
      </c>
      <c r="AL269">
        <v>2</v>
      </c>
      <c r="AM269">
        <v>0</v>
      </c>
      <c r="AN269" t="s">
        <v>576</v>
      </c>
      <c r="AO269" t="s">
        <v>68</v>
      </c>
      <c r="AP269">
        <v>0.47299999999999998</v>
      </c>
      <c r="AQ269" t="s">
        <v>69</v>
      </c>
      <c r="AR269">
        <v>63</v>
      </c>
      <c r="AS269">
        <v>3</v>
      </c>
      <c r="AT269">
        <v>2.954E-2</v>
      </c>
      <c r="AU269">
        <v>-7.8300000000000002E-3</v>
      </c>
      <c r="AV269">
        <v>0.15382000000000001</v>
      </c>
      <c r="AW269">
        <v>-4.2119999999999998E-2</v>
      </c>
      <c r="AX269">
        <v>1.75E-3</v>
      </c>
      <c r="AY269">
        <v>-7.1000000000000002E-4</v>
      </c>
      <c r="AZ269">
        <v>1.1379999999999999E-2</v>
      </c>
      <c r="BA269">
        <v>1</v>
      </c>
      <c r="BB269" t="s">
        <v>70</v>
      </c>
      <c r="BC269">
        <v>-0.50900000000000001</v>
      </c>
      <c r="BD269">
        <v>-0.66300000000000003</v>
      </c>
      <c r="BE269" t="s">
        <v>71</v>
      </c>
    </row>
    <row r="270" spans="1:57">
      <c r="A270">
        <v>315</v>
      </c>
      <c r="B270" t="s">
        <v>590</v>
      </c>
      <c r="D270" t="s">
        <v>60</v>
      </c>
      <c r="E270" t="s">
        <v>591</v>
      </c>
      <c r="F270" t="s">
        <v>592</v>
      </c>
      <c r="G270">
        <v>186</v>
      </c>
      <c r="H270" t="s">
        <v>63</v>
      </c>
      <c r="I270">
        <v>5</v>
      </c>
      <c r="J270" t="str">
        <f>HYPERLINK("Gene315-zp_tree_all.dnd", "Gene315-tree")</f>
        <v>Gene315-tree</v>
      </c>
      <c r="K270">
        <v>5</v>
      </c>
      <c r="L270">
        <v>0</v>
      </c>
      <c r="M270">
        <v>5</v>
      </c>
      <c r="N270">
        <v>0</v>
      </c>
      <c r="O270">
        <v>0</v>
      </c>
      <c r="P270" t="s">
        <v>96</v>
      </c>
      <c r="Q270" t="s">
        <v>66</v>
      </c>
      <c r="R270" t="s">
        <v>66</v>
      </c>
      <c r="S270" t="s">
        <v>66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5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5</v>
      </c>
      <c r="AI270">
        <v>2</v>
      </c>
      <c r="AJ270">
        <v>17</v>
      </c>
      <c r="AK270">
        <v>0</v>
      </c>
      <c r="AL270">
        <v>17</v>
      </c>
      <c r="AM270">
        <v>5</v>
      </c>
      <c r="AN270" t="s">
        <v>68</v>
      </c>
      <c r="AO270" t="s">
        <v>593</v>
      </c>
      <c r="AP270">
        <v>1.0389999999999999</v>
      </c>
      <c r="AQ270" t="s">
        <v>69</v>
      </c>
      <c r="AR270">
        <v>34</v>
      </c>
      <c r="AS270">
        <v>5</v>
      </c>
      <c r="AT270">
        <v>3.3869999999999997E-2</v>
      </c>
      <c r="AU270">
        <v>-6.1900000000000002E-3</v>
      </c>
      <c r="AV270">
        <v>0.16053999999999999</v>
      </c>
      <c r="AW270">
        <v>-2.9790000000000001E-2</v>
      </c>
      <c r="AX270">
        <v>6.7999999999999996E-3</v>
      </c>
      <c r="AY270">
        <v>-1.34E-3</v>
      </c>
      <c r="AZ270">
        <v>4.2360000000000002E-2</v>
      </c>
      <c r="BA270">
        <v>1</v>
      </c>
      <c r="BB270" t="s">
        <v>70</v>
      </c>
      <c r="BC270">
        <v>0.93799999999999994</v>
      </c>
      <c r="BD270">
        <v>0.26800000000000002</v>
      </c>
      <c r="BE270" t="s">
        <v>71</v>
      </c>
    </row>
    <row r="271" spans="1:57">
      <c r="A271">
        <v>320</v>
      </c>
      <c r="B271" t="s">
        <v>594</v>
      </c>
      <c r="D271" t="s">
        <v>60</v>
      </c>
      <c r="E271" t="s">
        <v>595</v>
      </c>
      <c r="F271" t="s">
        <v>596</v>
      </c>
      <c r="G271">
        <v>303</v>
      </c>
      <c r="H271" t="s">
        <v>63</v>
      </c>
      <c r="I271">
        <v>5</v>
      </c>
      <c r="J271" t="str">
        <f>HYPERLINK("Gene320-zp_tree_all.dnd", "Gene320-tree")</f>
        <v>Gene320-tree</v>
      </c>
      <c r="K271">
        <v>3</v>
      </c>
      <c r="L271">
        <v>2</v>
      </c>
      <c r="M271">
        <v>3</v>
      </c>
      <c r="N271">
        <v>2</v>
      </c>
      <c r="O271">
        <v>0.4</v>
      </c>
      <c r="P271" t="s">
        <v>86</v>
      </c>
      <c r="Q271" t="s">
        <v>124</v>
      </c>
      <c r="R271" t="s">
        <v>66</v>
      </c>
      <c r="S271" t="s">
        <v>66</v>
      </c>
      <c r="T271">
        <v>1</v>
      </c>
      <c r="U271">
        <v>2</v>
      </c>
      <c r="V271">
        <v>12</v>
      </c>
      <c r="W271">
        <v>0.14285999999999999</v>
      </c>
      <c r="X271">
        <v>0</v>
      </c>
      <c r="Y271">
        <v>0</v>
      </c>
      <c r="Z271">
        <v>0</v>
      </c>
      <c r="AA271">
        <v>8</v>
      </c>
      <c r="AB271">
        <v>0</v>
      </c>
      <c r="AC271">
        <v>0</v>
      </c>
      <c r="AD271">
        <v>0</v>
      </c>
      <c r="AE271">
        <v>0</v>
      </c>
      <c r="AF271">
        <v>6</v>
      </c>
      <c r="AG271">
        <v>0</v>
      </c>
      <c r="AH271">
        <v>5</v>
      </c>
      <c r="AI271">
        <v>2</v>
      </c>
      <c r="AJ271">
        <v>26</v>
      </c>
      <c r="AK271">
        <v>6</v>
      </c>
      <c r="AL271">
        <v>17</v>
      </c>
      <c r="AM271">
        <v>8</v>
      </c>
      <c r="AN271" t="s">
        <v>597</v>
      </c>
      <c r="AO271" t="s">
        <v>598</v>
      </c>
      <c r="AP271">
        <v>1.0840000000000001</v>
      </c>
      <c r="AQ271" t="s">
        <v>69</v>
      </c>
      <c r="AR271">
        <v>43</v>
      </c>
      <c r="AS271">
        <v>14</v>
      </c>
      <c r="AT271">
        <v>2.9260000000000001E-2</v>
      </c>
      <c r="AU271">
        <v>-3.2100000000000002E-3</v>
      </c>
      <c r="AV271">
        <v>0.11031000000000001</v>
      </c>
      <c r="AW271">
        <v>-1.2E-2</v>
      </c>
      <c r="AX271">
        <v>9.5899999999999996E-3</v>
      </c>
      <c r="AY271">
        <v>-1.34E-3</v>
      </c>
      <c r="AZ271">
        <v>8.695E-2</v>
      </c>
      <c r="BA271">
        <v>1</v>
      </c>
      <c r="BB271" t="s">
        <v>70</v>
      </c>
      <c r="BC271">
        <v>0.19800000000000001</v>
      </c>
      <c r="BD271">
        <v>0.19800000000000001</v>
      </c>
      <c r="BE271" t="s">
        <v>71</v>
      </c>
    </row>
    <row r="272" spans="1:57">
      <c r="A272">
        <v>323</v>
      </c>
      <c r="B272" t="s">
        <v>599</v>
      </c>
      <c r="D272" t="s">
        <v>60</v>
      </c>
      <c r="E272" t="s">
        <v>600</v>
      </c>
      <c r="F272" t="s">
        <v>74</v>
      </c>
      <c r="G272">
        <v>411</v>
      </c>
      <c r="H272" t="s">
        <v>63</v>
      </c>
      <c r="I272">
        <v>5</v>
      </c>
      <c r="J272" t="str">
        <f>HYPERLINK("Gene323-zp_tree_all.dnd", "Gene323-tree")</f>
        <v>Gene323-tree</v>
      </c>
      <c r="K272">
        <v>5</v>
      </c>
      <c r="L272">
        <v>0</v>
      </c>
      <c r="M272">
        <v>5</v>
      </c>
      <c r="N272">
        <v>0</v>
      </c>
      <c r="O272">
        <v>0</v>
      </c>
      <c r="P272" t="s">
        <v>96</v>
      </c>
      <c r="Q272" t="s">
        <v>66</v>
      </c>
      <c r="R272" t="s">
        <v>66</v>
      </c>
      <c r="S272" t="s">
        <v>66</v>
      </c>
      <c r="T272">
        <v>0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5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5</v>
      </c>
      <c r="AI272">
        <v>2</v>
      </c>
      <c r="AJ272">
        <v>32</v>
      </c>
      <c r="AK272">
        <v>0</v>
      </c>
      <c r="AL272">
        <v>40</v>
      </c>
      <c r="AM272">
        <v>5</v>
      </c>
      <c r="AN272" t="s">
        <v>68</v>
      </c>
      <c r="AO272" t="s">
        <v>601</v>
      </c>
      <c r="AP272">
        <v>0.77400000000000002</v>
      </c>
      <c r="AQ272" t="s">
        <v>69</v>
      </c>
      <c r="AR272">
        <v>72</v>
      </c>
      <c r="AS272">
        <v>5</v>
      </c>
      <c r="AT272">
        <v>3.1789999999999999E-2</v>
      </c>
      <c r="AU272">
        <v>-6.2700000000000004E-3</v>
      </c>
      <c r="AV272">
        <v>0.15894</v>
      </c>
      <c r="AW272">
        <v>-3.1550000000000002E-2</v>
      </c>
      <c r="AX272">
        <v>3.0999999999999999E-3</v>
      </c>
      <c r="AY272">
        <v>-7.3999999999999999E-4</v>
      </c>
      <c r="AZ272">
        <v>1.9519999999999999E-2</v>
      </c>
      <c r="BA272">
        <v>1</v>
      </c>
      <c r="BB272" t="s">
        <v>70</v>
      </c>
      <c r="BC272">
        <v>0.67400000000000004</v>
      </c>
      <c r="BD272">
        <v>0.46300000000000002</v>
      </c>
      <c r="BE272" t="s">
        <v>71</v>
      </c>
    </row>
    <row r="273" spans="1:57">
      <c r="A273">
        <v>348</v>
      </c>
      <c r="B273" t="s">
        <v>616</v>
      </c>
      <c r="D273" t="s">
        <v>60</v>
      </c>
      <c r="E273" t="s">
        <v>617</v>
      </c>
      <c r="F273" t="s">
        <v>618</v>
      </c>
      <c r="G273">
        <v>120</v>
      </c>
      <c r="H273" t="s">
        <v>63</v>
      </c>
      <c r="I273">
        <v>5</v>
      </c>
      <c r="J273" t="str">
        <f>HYPERLINK("Gene348-zp_tree_all.dnd", "Gene348-tree")</f>
        <v>Gene348-tree</v>
      </c>
      <c r="K273">
        <v>3</v>
      </c>
      <c r="L273">
        <v>2</v>
      </c>
      <c r="M273">
        <v>2</v>
      </c>
      <c r="N273">
        <v>2</v>
      </c>
      <c r="O273">
        <v>0.5</v>
      </c>
      <c r="P273" t="s">
        <v>185</v>
      </c>
      <c r="Q273" t="s">
        <v>124</v>
      </c>
      <c r="R273" t="s">
        <v>66</v>
      </c>
      <c r="S273" t="s">
        <v>66</v>
      </c>
      <c r="T273">
        <v>0</v>
      </c>
      <c r="U273">
        <v>0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0</v>
      </c>
      <c r="AC273">
        <v>0</v>
      </c>
      <c r="AD273">
        <v>0</v>
      </c>
      <c r="AE273">
        <v>0</v>
      </c>
      <c r="AF273">
        <v>3</v>
      </c>
      <c r="AG273">
        <v>0</v>
      </c>
      <c r="AH273">
        <v>4</v>
      </c>
      <c r="AI273">
        <v>1</v>
      </c>
      <c r="AJ273">
        <v>15</v>
      </c>
      <c r="AK273">
        <v>3</v>
      </c>
      <c r="AL273">
        <v>4</v>
      </c>
      <c r="AM273">
        <v>3</v>
      </c>
      <c r="AN273" t="s">
        <v>619</v>
      </c>
      <c r="AO273" t="s">
        <v>620</v>
      </c>
      <c r="AP273">
        <v>3.7269999999999999</v>
      </c>
      <c r="AQ273" t="s">
        <v>69</v>
      </c>
      <c r="AR273">
        <v>19</v>
      </c>
      <c r="AS273">
        <v>6</v>
      </c>
      <c r="AT273">
        <v>3.6569999999999998E-2</v>
      </c>
      <c r="AU273">
        <v>-4.79E-3</v>
      </c>
      <c r="AV273">
        <v>0.14560999999999999</v>
      </c>
      <c r="AW273">
        <v>-1.695E-2</v>
      </c>
      <c r="AX273">
        <v>1.234E-2</v>
      </c>
      <c r="AY273">
        <v>-1.3500000000000001E-3</v>
      </c>
      <c r="AZ273">
        <v>8.4779999999999994E-2</v>
      </c>
      <c r="BA273">
        <v>1</v>
      </c>
      <c r="BB273" t="s">
        <v>70</v>
      </c>
      <c r="BC273">
        <v>0.309</v>
      </c>
      <c r="BD273">
        <v>-0.29599999999999999</v>
      </c>
      <c r="BE273" t="s">
        <v>71</v>
      </c>
    </row>
    <row r="274" spans="1:57">
      <c r="A274">
        <v>351</v>
      </c>
      <c r="B274" t="s">
        <v>621</v>
      </c>
      <c r="D274" t="s">
        <v>60</v>
      </c>
      <c r="E274" t="s">
        <v>622</v>
      </c>
      <c r="F274" t="s">
        <v>623</v>
      </c>
      <c r="G274">
        <v>46</v>
      </c>
      <c r="H274" t="s">
        <v>63</v>
      </c>
      <c r="I274">
        <v>5</v>
      </c>
      <c r="J274" t="str">
        <f>HYPERLINK("Gene351-zp_tree_all.dnd", "Gene351-tree")</f>
        <v>Gene351-tree</v>
      </c>
      <c r="K274">
        <v>3</v>
      </c>
      <c r="L274">
        <v>2</v>
      </c>
      <c r="M274">
        <v>2</v>
      </c>
      <c r="N274">
        <v>2</v>
      </c>
      <c r="O274">
        <v>0.5</v>
      </c>
      <c r="P274" t="s">
        <v>185</v>
      </c>
      <c r="Q274" t="s">
        <v>124</v>
      </c>
      <c r="R274" t="s">
        <v>66</v>
      </c>
      <c r="S274" t="s">
        <v>66</v>
      </c>
      <c r="T274">
        <v>0</v>
      </c>
      <c r="U274">
        <v>0</v>
      </c>
      <c r="V274">
        <v>2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2</v>
      </c>
      <c r="AG274">
        <v>0</v>
      </c>
      <c r="AH274">
        <v>3</v>
      </c>
      <c r="AI274">
        <v>1</v>
      </c>
      <c r="AJ274">
        <v>1</v>
      </c>
      <c r="AK274">
        <v>2</v>
      </c>
      <c r="AL274">
        <v>1</v>
      </c>
      <c r="AM274">
        <v>0</v>
      </c>
      <c r="AN274" t="s">
        <v>624</v>
      </c>
      <c r="AO274" t="s">
        <v>68</v>
      </c>
      <c r="AP274">
        <v>0.69299999999999995</v>
      </c>
      <c r="AQ274" t="s">
        <v>69</v>
      </c>
      <c r="AR274">
        <v>2</v>
      </c>
      <c r="AS274">
        <v>2</v>
      </c>
      <c r="AT274">
        <v>1.5699999999999999E-2</v>
      </c>
      <c r="AU274">
        <v>-2.0300000000000001E-3</v>
      </c>
      <c r="AV274">
        <v>3.8649999999999997E-2</v>
      </c>
      <c r="AW274">
        <v>-6.8799999999999998E-3</v>
      </c>
      <c r="AX274">
        <v>9.4500000000000001E-3</v>
      </c>
      <c r="AY274">
        <v>-2.2399999999999998E-3</v>
      </c>
      <c r="AZ274">
        <v>0.24440999999999999</v>
      </c>
      <c r="BA274">
        <v>0.77900000000000003</v>
      </c>
      <c r="BB274" t="s">
        <v>188</v>
      </c>
      <c r="BC274">
        <v>0.27300000000000002</v>
      </c>
      <c r="BD274">
        <v>0.27300000000000002</v>
      </c>
      <c r="BE274" t="s">
        <v>71</v>
      </c>
    </row>
    <row r="275" spans="1:57">
      <c r="A275">
        <v>363</v>
      </c>
      <c r="B275" t="s">
        <v>638</v>
      </c>
      <c r="D275" t="s">
        <v>60</v>
      </c>
      <c r="E275" t="s">
        <v>639</v>
      </c>
      <c r="F275" t="s">
        <v>640</v>
      </c>
      <c r="G275">
        <v>204</v>
      </c>
      <c r="H275" t="s">
        <v>85</v>
      </c>
      <c r="I275">
        <v>4</v>
      </c>
      <c r="J275" t="str">
        <f>HYPERLINK("Gene363-zp_tree_all.dnd", "Gene363-tree")</f>
        <v>Gene363-tree</v>
      </c>
      <c r="K275">
        <v>1</v>
      </c>
      <c r="L275">
        <v>3</v>
      </c>
      <c r="M275">
        <v>1</v>
      </c>
      <c r="N275">
        <v>3</v>
      </c>
      <c r="O275">
        <v>0.75</v>
      </c>
      <c r="P275" t="s">
        <v>65</v>
      </c>
      <c r="Q275" t="s">
        <v>86</v>
      </c>
      <c r="R275" t="s">
        <v>66</v>
      </c>
      <c r="S275" t="s">
        <v>66</v>
      </c>
      <c r="T275">
        <v>1</v>
      </c>
      <c r="U275">
        <v>2</v>
      </c>
      <c r="V275">
        <v>5</v>
      </c>
      <c r="W275">
        <v>0.28571000000000002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</v>
      </c>
      <c r="AE275">
        <v>2</v>
      </c>
      <c r="AF275">
        <v>5</v>
      </c>
      <c r="AG275">
        <v>0.28571000000000002</v>
      </c>
      <c r="AH275">
        <v>4</v>
      </c>
      <c r="AI275">
        <v>1</v>
      </c>
      <c r="AJ275">
        <v>26</v>
      </c>
      <c r="AK275">
        <v>5</v>
      </c>
      <c r="AL275">
        <v>2</v>
      </c>
      <c r="AM275">
        <v>2</v>
      </c>
      <c r="AN275" t="s">
        <v>641</v>
      </c>
      <c r="AO275" t="s">
        <v>642</v>
      </c>
      <c r="AP275">
        <v>7.093</v>
      </c>
      <c r="AQ275" t="s">
        <v>69</v>
      </c>
      <c r="AR275">
        <v>28</v>
      </c>
      <c r="AS275">
        <v>7</v>
      </c>
      <c r="AT275">
        <v>2.9409999999999999E-2</v>
      </c>
      <c r="AU275">
        <v>-4.9500000000000004E-3</v>
      </c>
      <c r="AV275">
        <v>0.10843</v>
      </c>
      <c r="AW275">
        <v>-2.1479999999999999E-2</v>
      </c>
      <c r="AX275">
        <v>8.2199999999999999E-3</v>
      </c>
      <c r="AY275">
        <v>-1.1800000000000001E-3</v>
      </c>
      <c r="AZ275">
        <v>7.578E-2</v>
      </c>
      <c r="BA275">
        <v>1</v>
      </c>
      <c r="BB275" t="s">
        <v>70</v>
      </c>
      <c r="BC275">
        <v>-0.30499999999999999</v>
      </c>
      <c r="BD275">
        <v>-0.58399999999999996</v>
      </c>
      <c r="BE275" t="s">
        <v>71</v>
      </c>
    </row>
    <row r="276" spans="1:57">
      <c r="A276">
        <v>376</v>
      </c>
      <c r="B276" t="s">
        <v>643</v>
      </c>
      <c r="D276" t="s">
        <v>60</v>
      </c>
      <c r="E276" t="s">
        <v>644</v>
      </c>
      <c r="F276" t="s">
        <v>645</v>
      </c>
      <c r="G276">
        <v>227</v>
      </c>
      <c r="H276" t="s">
        <v>85</v>
      </c>
      <c r="I276">
        <v>4</v>
      </c>
      <c r="J276" t="str">
        <f>HYPERLINK("Gene376-zp_tree_all.dnd", "Gene376-tree")</f>
        <v>Gene376-tree</v>
      </c>
      <c r="K276">
        <v>2</v>
      </c>
      <c r="L276">
        <v>2</v>
      </c>
      <c r="M276">
        <v>2</v>
      </c>
      <c r="N276">
        <v>2</v>
      </c>
      <c r="O276">
        <v>0.5</v>
      </c>
      <c r="P276" t="s">
        <v>124</v>
      </c>
      <c r="Q276" t="s">
        <v>124</v>
      </c>
      <c r="R276" t="s">
        <v>66</v>
      </c>
      <c r="S276" t="s">
        <v>66</v>
      </c>
      <c r="T276">
        <v>0</v>
      </c>
      <c r="U276">
        <v>0</v>
      </c>
      <c r="V276">
        <v>6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6</v>
      </c>
      <c r="AG276">
        <v>0</v>
      </c>
      <c r="AH276">
        <v>4</v>
      </c>
      <c r="AI276">
        <v>1</v>
      </c>
      <c r="AJ276">
        <v>31</v>
      </c>
      <c r="AK276">
        <v>6</v>
      </c>
      <c r="AL276">
        <v>2</v>
      </c>
      <c r="AM276">
        <v>0</v>
      </c>
      <c r="AN276" t="s">
        <v>646</v>
      </c>
      <c r="AO276" t="s">
        <v>68</v>
      </c>
      <c r="AP276">
        <v>0.71099999999999997</v>
      </c>
      <c r="AQ276" t="s">
        <v>69</v>
      </c>
      <c r="AR276">
        <v>33</v>
      </c>
      <c r="AS276">
        <v>6</v>
      </c>
      <c r="AT276">
        <v>2.8629999999999999E-2</v>
      </c>
      <c r="AU276">
        <v>-6.5599999999999999E-3</v>
      </c>
      <c r="AV276">
        <v>0.12529000000000001</v>
      </c>
      <c r="AW276">
        <v>-2.8160000000000001E-2</v>
      </c>
      <c r="AX276">
        <v>5.6499999999999996E-3</v>
      </c>
      <c r="AY276">
        <v>-1.83E-3</v>
      </c>
      <c r="AZ276">
        <v>4.5069999999999999E-2</v>
      </c>
      <c r="BA276">
        <v>1</v>
      </c>
      <c r="BB276" t="s">
        <v>70</v>
      </c>
      <c r="BC276">
        <v>-0.61399999999999999</v>
      </c>
      <c r="BD276">
        <v>-0.61399999999999999</v>
      </c>
      <c r="BE276" t="s">
        <v>71</v>
      </c>
    </row>
    <row r="277" spans="1:57">
      <c r="A277">
        <v>378</v>
      </c>
      <c r="B277" t="s">
        <v>647</v>
      </c>
      <c r="D277" t="s">
        <v>60</v>
      </c>
      <c r="E277" t="s">
        <v>648</v>
      </c>
      <c r="F277" t="s">
        <v>649</v>
      </c>
      <c r="G277">
        <v>382</v>
      </c>
      <c r="H277" t="s">
        <v>63</v>
      </c>
      <c r="I277">
        <v>5</v>
      </c>
      <c r="J277" t="str">
        <f>HYPERLINK("Gene378-zp_tree_all.dnd", "Gene378-tree")</f>
        <v>Gene378-tree</v>
      </c>
      <c r="K277">
        <v>2</v>
      </c>
      <c r="L277">
        <v>3</v>
      </c>
      <c r="M277">
        <v>2</v>
      </c>
      <c r="N277">
        <v>3</v>
      </c>
      <c r="O277">
        <v>0.6</v>
      </c>
      <c r="P277" t="s">
        <v>124</v>
      </c>
      <c r="Q277" t="s">
        <v>86</v>
      </c>
      <c r="R277" t="s">
        <v>66</v>
      </c>
      <c r="S277" t="s">
        <v>66</v>
      </c>
      <c r="T277">
        <v>0</v>
      </c>
      <c r="U277">
        <v>0</v>
      </c>
      <c r="V277">
        <v>9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9</v>
      </c>
      <c r="AG277">
        <v>0</v>
      </c>
      <c r="AH277">
        <v>4</v>
      </c>
      <c r="AI277">
        <v>2</v>
      </c>
      <c r="AJ277">
        <v>21</v>
      </c>
      <c r="AK277">
        <v>3</v>
      </c>
      <c r="AL277">
        <v>30</v>
      </c>
      <c r="AM277">
        <v>6</v>
      </c>
      <c r="AN277" t="s">
        <v>650</v>
      </c>
      <c r="AO277" t="s">
        <v>651</v>
      </c>
      <c r="AP277">
        <v>0.19400000000000001</v>
      </c>
      <c r="AQ277" t="s">
        <v>69</v>
      </c>
      <c r="AR277">
        <v>51</v>
      </c>
      <c r="AS277">
        <v>9</v>
      </c>
      <c r="AT277">
        <v>2.6880000000000001E-2</v>
      </c>
      <c r="AU277">
        <v>-4.9100000000000003E-3</v>
      </c>
      <c r="AV277">
        <v>0.11601</v>
      </c>
      <c r="AW277">
        <v>-2.138E-2</v>
      </c>
      <c r="AX277">
        <v>5.3699999999999998E-3</v>
      </c>
      <c r="AY277">
        <v>-1.1199999999999999E-3</v>
      </c>
      <c r="AZ277">
        <v>4.6309999999999997E-2</v>
      </c>
      <c r="BA277">
        <v>1</v>
      </c>
      <c r="BB277" t="s">
        <v>70</v>
      </c>
      <c r="BC277">
        <v>0.66200000000000003</v>
      </c>
      <c r="BD277">
        <v>0.66200000000000003</v>
      </c>
      <c r="BE277" t="s">
        <v>71</v>
      </c>
    </row>
    <row r="278" spans="1:57">
      <c r="A278">
        <v>382</v>
      </c>
      <c r="B278" t="s">
        <v>655</v>
      </c>
      <c r="D278" t="s">
        <v>60</v>
      </c>
      <c r="E278" t="s">
        <v>656</v>
      </c>
      <c r="F278" t="s">
        <v>657</v>
      </c>
      <c r="G278">
        <v>316</v>
      </c>
      <c r="H278" t="s">
        <v>63</v>
      </c>
      <c r="I278">
        <v>5</v>
      </c>
      <c r="J278" t="str">
        <f>HYPERLINK("Gene382-zp_tree_all.dnd", "Gene382-tree")</f>
        <v>Gene382-tree</v>
      </c>
      <c r="K278">
        <v>2</v>
      </c>
      <c r="L278">
        <v>3</v>
      </c>
      <c r="M278">
        <v>2</v>
      </c>
      <c r="N278">
        <v>3</v>
      </c>
      <c r="O278">
        <v>0.6</v>
      </c>
      <c r="P278" t="s">
        <v>124</v>
      </c>
      <c r="Q278" t="s">
        <v>86</v>
      </c>
      <c r="R278" t="s">
        <v>66</v>
      </c>
      <c r="S278" t="s">
        <v>66</v>
      </c>
      <c r="T278">
        <v>0</v>
      </c>
      <c r="U278">
        <v>0</v>
      </c>
      <c r="V278">
        <v>6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6</v>
      </c>
      <c r="AG278">
        <v>0</v>
      </c>
      <c r="AH278">
        <v>5</v>
      </c>
      <c r="AI278">
        <v>2</v>
      </c>
      <c r="AJ278">
        <v>31</v>
      </c>
      <c r="AK278">
        <v>4</v>
      </c>
      <c r="AL278">
        <v>16</v>
      </c>
      <c r="AM278">
        <v>2</v>
      </c>
      <c r="AN278" t="s">
        <v>658</v>
      </c>
      <c r="AO278" t="s">
        <v>659</v>
      </c>
      <c r="AP278">
        <v>3.5999999999999997E-2</v>
      </c>
      <c r="AQ278" t="s">
        <v>69</v>
      </c>
      <c r="AR278">
        <v>47</v>
      </c>
      <c r="AS278">
        <v>6</v>
      </c>
      <c r="AT278">
        <v>2.563E-2</v>
      </c>
      <c r="AU278">
        <v>-3.7599999999999999E-3</v>
      </c>
      <c r="AV278">
        <v>9.9790000000000004E-2</v>
      </c>
      <c r="AW278">
        <v>-1.521E-2</v>
      </c>
      <c r="AX278">
        <v>4.0699999999999998E-3</v>
      </c>
      <c r="AY278">
        <v>-6.9999999999999999E-4</v>
      </c>
      <c r="AZ278">
        <v>4.0750000000000001E-2</v>
      </c>
      <c r="BA278">
        <v>1</v>
      </c>
      <c r="BB278" t="s">
        <v>70</v>
      </c>
      <c r="BC278">
        <v>9.4E-2</v>
      </c>
      <c r="BD278">
        <v>-6.3E-2</v>
      </c>
      <c r="BE278" t="s">
        <v>71</v>
      </c>
    </row>
    <row r="279" spans="1:57">
      <c r="A279">
        <v>383</v>
      </c>
      <c r="B279" t="s">
        <v>660</v>
      </c>
      <c r="D279" t="s">
        <v>60</v>
      </c>
      <c r="E279" t="s">
        <v>661</v>
      </c>
      <c r="F279" t="s">
        <v>657</v>
      </c>
      <c r="G279">
        <v>315</v>
      </c>
      <c r="H279" t="s">
        <v>63</v>
      </c>
      <c r="I279">
        <v>5</v>
      </c>
      <c r="J279" t="str">
        <f>HYPERLINK("Gene383-zp_tree_all.dnd", "Gene383-tree")</f>
        <v>Gene383-tree</v>
      </c>
      <c r="K279">
        <v>3</v>
      </c>
      <c r="L279">
        <v>2</v>
      </c>
      <c r="M279">
        <v>3</v>
      </c>
      <c r="N279">
        <v>2</v>
      </c>
      <c r="O279">
        <v>0.4</v>
      </c>
      <c r="P279" t="s">
        <v>86</v>
      </c>
      <c r="Q279" t="s">
        <v>124</v>
      </c>
      <c r="R279" t="s">
        <v>66</v>
      </c>
      <c r="S279" t="s">
        <v>66</v>
      </c>
      <c r="T279">
        <v>0</v>
      </c>
      <c r="U279">
        <v>0</v>
      </c>
      <c r="V279">
        <v>7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3</v>
      </c>
      <c r="AG279">
        <v>0</v>
      </c>
      <c r="AH279">
        <v>5</v>
      </c>
      <c r="AI279">
        <v>2</v>
      </c>
      <c r="AJ279">
        <v>20</v>
      </c>
      <c r="AK279">
        <v>3</v>
      </c>
      <c r="AL279">
        <v>25</v>
      </c>
      <c r="AM279">
        <v>5</v>
      </c>
      <c r="AN279" t="s">
        <v>662</v>
      </c>
      <c r="AO279" t="s">
        <v>663</v>
      </c>
      <c r="AP279">
        <v>0.13900000000000001</v>
      </c>
      <c r="AQ279" t="s">
        <v>69</v>
      </c>
      <c r="AR279">
        <v>45</v>
      </c>
      <c r="AS279">
        <v>8</v>
      </c>
      <c r="AT279">
        <v>2.8250000000000001E-2</v>
      </c>
      <c r="AU279">
        <v>-5.3899999999999998E-3</v>
      </c>
      <c r="AV279">
        <v>0.11065</v>
      </c>
      <c r="AW279">
        <v>-2.1510000000000001E-2</v>
      </c>
      <c r="AX279">
        <v>5.8599999999999998E-3</v>
      </c>
      <c r="AY279">
        <v>-1.23E-3</v>
      </c>
      <c r="AZ279">
        <v>5.2979999999999999E-2</v>
      </c>
      <c r="BA279">
        <v>1</v>
      </c>
      <c r="BB279" t="s">
        <v>70</v>
      </c>
      <c r="BC279">
        <v>0.84899999999999998</v>
      </c>
      <c r="BD279">
        <v>0.69199999999999995</v>
      </c>
      <c r="BE279" t="s">
        <v>71</v>
      </c>
    </row>
    <row r="280" spans="1:57">
      <c r="A280">
        <v>426</v>
      </c>
      <c r="B280" t="s">
        <v>683</v>
      </c>
      <c r="D280" t="s">
        <v>60</v>
      </c>
      <c r="E280" t="s">
        <v>684</v>
      </c>
      <c r="F280" t="s">
        <v>685</v>
      </c>
      <c r="G280">
        <v>140</v>
      </c>
      <c r="H280" t="s">
        <v>63</v>
      </c>
      <c r="I280">
        <v>5</v>
      </c>
      <c r="J280" t="str">
        <f>HYPERLINK("Gene426-zp_tree_all.dnd", "Gene426-tree")</f>
        <v>Gene426-tree</v>
      </c>
      <c r="K280">
        <v>3</v>
      </c>
      <c r="L280">
        <v>2</v>
      </c>
      <c r="M280">
        <v>3</v>
      </c>
      <c r="N280">
        <v>2</v>
      </c>
      <c r="O280">
        <v>0.4</v>
      </c>
      <c r="P280" t="s">
        <v>86</v>
      </c>
      <c r="Q280" t="s">
        <v>124</v>
      </c>
      <c r="R280" t="s">
        <v>66</v>
      </c>
      <c r="S280" t="s">
        <v>66</v>
      </c>
      <c r="T280">
        <v>1</v>
      </c>
      <c r="U280">
        <v>2</v>
      </c>
      <c r="V280">
        <v>3</v>
      </c>
      <c r="W280">
        <v>0.4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</v>
      </c>
      <c r="AE280">
        <v>2</v>
      </c>
      <c r="AF280">
        <v>3</v>
      </c>
      <c r="AG280">
        <v>0.4</v>
      </c>
      <c r="AH280">
        <v>5</v>
      </c>
      <c r="AI280">
        <v>2</v>
      </c>
      <c r="AJ280">
        <v>20</v>
      </c>
      <c r="AK280">
        <v>5</v>
      </c>
      <c r="AL280">
        <v>6</v>
      </c>
      <c r="AM280">
        <v>0</v>
      </c>
      <c r="AN280" t="s">
        <v>686</v>
      </c>
      <c r="AO280" t="s">
        <v>68</v>
      </c>
      <c r="AP280">
        <v>1.107</v>
      </c>
      <c r="AQ280" t="s">
        <v>69</v>
      </c>
      <c r="AR280">
        <v>26</v>
      </c>
      <c r="AS280">
        <v>5</v>
      </c>
      <c r="AT280">
        <v>3.3090000000000001E-2</v>
      </c>
      <c r="AU280">
        <v>-4.5900000000000003E-3</v>
      </c>
      <c r="AV280">
        <v>0.14913999999999999</v>
      </c>
      <c r="AW280">
        <v>-1.9939999999999999E-2</v>
      </c>
      <c r="AX280">
        <v>6.2199999999999998E-3</v>
      </c>
      <c r="AY280">
        <v>-1.5299999999999999E-3</v>
      </c>
      <c r="AZ280">
        <v>4.1689999999999998E-2</v>
      </c>
      <c r="BA280">
        <v>1</v>
      </c>
      <c r="BB280" t="s">
        <v>70</v>
      </c>
      <c r="BC280">
        <v>-0.629</v>
      </c>
      <c r="BD280">
        <v>-0.66300000000000003</v>
      </c>
      <c r="BE280" t="s">
        <v>71</v>
      </c>
    </row>
    <row r="281" spans="1:57">
      <c r="A281">
        <v>429</v>
      </c>
      <c r="B281" t="s">
        <v>690</v>
      </c>
      <c r="D281" t="s">
        <v>60</v>
      </c>
      <c r="E281" t="s">
        <v>691</v>
      </c>
      <c r="F281" t="s">
        <v>692</v>
      </c>
      <c r="G281">
        <v>144</v>
      </c>
      <c r="H281" t="s">
        <v>63</v>
      </c>
      <c r="I281">
        <v>5</v>
      </c>
      <c r="J281" t="str">
        <f>HYPERLINK("Gene429-zp_tree_all.dnd", "Gene429-tree")</f>
        <v>Gene429-tree</v>
      </c>
      <c r="K281">
        <v>3</v>
      </c>
      <c r="L281">
        <v>2</v>
      </c>
      <c r="M281">
        <v>3</v>
      </c>
      <c r="N281">
        <v>2</v>
      </c>
      <c r="O281">
        <v>0.4</v>
      </c>
      <c r="P281" t="s">
        <v>86</v>
      </c>
      <c r="Q281" t="s">
        <v>124</v>
      </c>
      <c r="R281" t="s">
        <v>66</v>
      </c>
      <c r="S281" t="s">
        <v>66</v>
      </c>
      <c r="T281">
        <v>0</v>
      </c>
      <c r="U281">
        <v>0</v>
      </c>
      <c r="V281">
        <v>3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3</v>
      </c>
      <c r="AG281">
        <v>0</v>
      </c>
      <c r="AH281">
        <v>4</v>
      </c>
      <c r="AI281">
        <v>2</v>
      </c>
      <c r="AJ281">
        <v>7</v>
      </c>
      <c r="AK281">
        <v>3</v>
      </c>
      <c r="AL281">
        <v>17</v>
      </c>
      <c r="AM281">
        <v>0</v>
      </c>
      <c r="AN281" t="s">
        <v>693</v>
      </c>
      <c r="AO281" t="s">
        <v>68</v>
      </c>
      <c r="AP281">
        <v>1.3759999999999999</v>
      </c>
      <c r="AQ281" t="s">
        <v>69</v>
      </c>
      <c r="AR281">
        <v>24</v>
      </c>
      <c r="AS281">
        <v>3</v>
      </c>
      <c r="AT281">
        <v>3.3329999999999999E-2</v>
      </c>
      <c r="AU281">
        <v>-6.0400000000000002E-3</v>
      </c>
      <c r="AV281">
        <v>0.15543999999999999</v>
      </c>
      <c r="AW281">
        <v>-3.0300000000000001E-2</v>
      </c>
      <c r="AX281">
        <v>3.65E-3</v>
      </c>
      <c r="AY281">
        <v>-9.3999999999999997E-4</v>
      </c>
      <c r="AZ281">
        <v>2.349E-2</v>
      </c>
      <c r="BA281">
        <v>1</v>
      </c>
      <c r="BB281" t="s">
        <v>70</v>
      </c>
      <c r="BC281">
        <v>0.71399999999999997</v>
      </c>
      <c r="BD281">
        <v>0.71399999999999997</v>
      </c>
      <c r="BE281" t="s">
        <v>71</v>
      </c>
    </row>
    <row r="282" spans="1:57">
      <c r="A282">
        <v>451</v>
      </c>
      <c r="B282" t="s">
        <v>702</v>
      </c>
      <c r="D282" t="s">
        <v>60</v>
      </c>
      <c r="E282" t="s">
        <v>703</v>
      </c>
      <c r="F282" t="s">
        <v>704</v>
      </c>
      <c r="G282">
        <v>421</v>
      </c>
      <c r="H282" t="s">
        <v>63</v>
      </c>
      <c r="I282">
        <v>5</v>
      </c>
      <c r="J282" t="str">
        <f>HYPERLINK("Gene451-zp_tree_all.dnd", "Gene451-tree")</f>
        <v>Gene451-tree</v>
      </c>
      <c r="K282">
        <v>2</v>
      </c>
      <c r="L282">
        <v>3</v>
      </c>
      <c r="M282">
        <v>2</v>
      </c>
      <c r="N282">
        <v>3</v>
      </c>
      <c r="O282">
        <v>0.6</v>
      </c>
      <c r="P282" t="s">
        <v>124</v>
      </c>
      <c r="Q282" t="s">
        <v>86</v>
      </c>
      <c r="R282" t="s">
        <v>66</v>
      </c>
      <c r="S282" t="s">
        <v>66</v>
      </c>
      <c r="T282">
        <v>1</v>
      </c>
      <c r="U282">
        <v>2</v>
      </c>
      <c r="V282">
        <v>4</v>
      </c>
      <c r="W282">
        <v>0.33333000000000002</v>
      </c>
      <c r="X282">
        <v>0</v>
      </c>
      <c r="Y282">
        <v>0</v>
      </c>
      <c r="Z282">
        <v>0</v>
      </c>
      <c r="AA282">
        <v>3</v>
      </c>
      <c r="AB282">
        <v>0</v>
      </c>
      <c r="AC282">
        <v>0</v>
      </c>
      <c r="AD282">
        <v>0</v>
      </c>
      <c r="AE282">
        <v>0</v>
      </c>
      <c r="AF282">
        <v>3</v>
      </c>
      <c r="AG282">
        <v>0</v>
      </c>
      <c r="AH282">
        <v>5</v>
      </c>
      <c r="AI282">
        <v>2</v>
      </c>
      <c r="AJ282">
        <v>34</v>
      </c>
      <c r="AK282">
        <v>3</v>
      </c>
      <c r="AL282">
        <v>40</v>
      </c>
      <c r="AM282">
        <v>3</v>
      </c>
      <c r="AN282" t="s">
        <v>705</v>
      </c>
      <c r="AO282" t="s">
        <v>706</v>
      </c>
      <c r="AP282">
        <v>0.19800000000000001</v>
      </c>
      <c r="AQ282" t="s">
        <v>69</v>
      </c>
      <c r="AR282">
        <v>74</v>
      </c>
      <c r="AS282">
        <v>6</v>
      </c>
      <c r="AT282">
        <v>3.0880000000000001E-2</v>
      </c>
      <c r="AU282">
        <v>-4.7699999999999999E-3</v>
      </c>
      <c r="AV282">
        <v>0.13556000000000001</v>
      </c>
      <c r="AW282">
        <v>-2.2540000000000001E-2</v>
      </c>
      <c r="AX282">
        <v>2.7100000000000002E-3</v>
      </c>
      <c r="AY282">
        <v>-3.2000000000000003E-4</v>
      </c>
      <c r="AZ282">
        <v>1.9970000000000002E-2</v>
      </c>
      <c r="BA282">
        <v>1</v>
      </c>
      <c r="BB282" t="s">
        <v>70</v>
      </c>
      <c r="BC282">
        <v>0.63200000000000001</v>
      </c>
      <c r="BD282">
        <v>0.33700000000000002</v>
      </c>
      <c r="BE282" t="s">
        <v>71</v>
      </c>
    </row>
    <row r="283" spans="1:57">
      <c r="A283">
        <v>455</v>
      </c>
      <c r="B283" t="s">
        <v>707</v>
      </c>
      <c r="D283" t="s">
        <v>60</v>
      </c>
      <c r="E283" t="s">
        <v>708</v>
      </c>
      <c r="F283" t="s">
        <v>74</v>
      </c>
      <c r="G283">
        <v>111</v>
      </c>
      <c r="H283" t="s">
        <v>63</v>
      </c>
      <c r="I283">
        <v>5</v>
      </c>
      <c r="J283" t="str">
        <f>HYPERLINK("Gene455-zp_tree_all.dnd", "Gene455-tree")</f>
        <v>Gene455-tree</v>
      </c>
      <c r="K283">
        <v>4</v>
      </c>
      <c r="L283">
        <v>1</v>
      </c>
      <c r="M283">
        <v>3</v>
      </c>
      <c r="N283">
        <v>1</v>
      </c>
      <c r="O283">
        <v>0.25</v>
      </c>
      <c r="P283" t="s">
        <v>112</v>
      </c>
      <c r="Q283" t="s">
        <v>65</v>
      </c>
      <c r="R283" t="s">
        <v>66</v>
      </c>
      <c r="S283" t="s">
        <v>66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2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4</v>
      </c>
      <c r="AI283">
        <v>1</v>
      </c>
      <c r="AJ283">
        <v>9</v>
      </c>
      <c r="AK283">
        <v>1</v>
      </c>
      <c r="AL283">
        <v>7</v>
      </c>
      <c r="AM283">
        <v>1</v>
      </c>
      <c r="AN283" t="s">
        <v>709</v>
      </c>
      <c r="AO283" t="s">
        <v>710</v>
      </c>
      <c r="AP283">
        <v>0.14699999999999999</v>
      </c>
      <c r="AQ283" t="s">
        <v>69</v>
      </c>
      <c r="AR283">
        <v>16</v>
      </c>
      <c r="AS283">
        <v>2</v>
      </c>
      <c r="AT283">
        <v>3.0030000000000001E-2</v>
      </c>
      <c r="AU283">
        <v>-4.7000000000000002E-3</v>
      </c>
      <c r="AV283">
        <v>0.11994</v>
      </c>
      <c r="AW283">
        <v>-1.8759999999999999E-2</v>
      </c>
      <c r="AX283">
        <v>4.64E-3</v>
      </c>
      <c r="AY283">
        <v>-8.0999999999999996E-4</v>
      </c>
      <c r="AZ283">
        <v>3.8699999999999998E-2</v>
      </c>
      <c r="BA283">
        <v>1</v>
      </c>
      <c r="BB283" t="s">
        <v>70</v>
      </c>
      <c r="BC283">
        <v>0.66600000000000004</v>
      </c>
      <c r="BD283">
        <v>0.216</v>
      </c>
      <c r="BE283" t="s">
        <v>71</v>
      </c>
    </row>
    <row r="284" spans="1:57">
      <c r="A284">
        <v>460</v>
      </c>
      <c r="B284" t="s">
        <v>718</v>
      </c>
      <c r="D284" t="s">
        <v>60</v>
      </c>
      <c r="E284" t="s">
        <v>719</v>
      </c>
      <c r="F284" t="s">
        <v>720</v>
      </c>
      <c r="G284">
        <v>354</v>
      </c>
      <c r="H284" t="s">
        <v>63</v>
      </c>
      <c r="I284">
        <v>5</v>
      </c>
      <c r="J284" t="str">
        <f>HYPERLINK("Gene460-zp_tree_all.dnd", "Gene460-tree")</f>
        <v>Gene460-tree</v>
      </c>
      <c r="K284">
        <v>2</v>
      </c>
      <c r="L284">
        <v>3</v>
      </c>
      <c r="M284">
        <v>2</v>
      </c>
      <c r="N284">
        <v>3</v>
      </c>
      <c r="O284">
        <v>0.6</v>
      </c>
      <c r="P284" t="s">
        <v>124</v>
      </c>
      <c r="Q284" t="s">
        <v>86</v>
      </c>
      <c r="R284" t="s">
        <v>66</v>
      </c>
      <c r="S284" t="s">
        <v>66</v>
      </c>
      <c r="T284">
        <v>0</v>
      </c>
      <c r="U284">
        <v>0</v>
      </c>
      <c r="V284">
        <v>8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8</v>
      </c>
      <c r="AG284">
        <v>0</v>
      </c>
      <c r="AH284">
        <v>5</v>
      </c>
      <c r="AI284">
        <v>2</v>
      </c>
      <c r="AJ284">
        <v>40</v>
      </c>
      <c r="AK284">
        <v>7</v>
      </c>
      <c r="AL284">
        <v>22</v>
      </c>
      <c r="AM284">
        <v>2</v>
      </c>
      <c r="AN284" t="s">
        <v>721</v>
      </c>
      <c r="AO284" t="s">
        <v>722</v>
      </c>
      <c r="AP284">
        <v>0.505</v>
      </c>
      <c r="AQ284" t="s">
        <v>69</v>
      </c>
      <c r="AR284">
        <v>62</v>
      </c>
      <c r="AS284">
        <v>9</v>
      </c>
      <c r="AT284">
        <v>2.9929999999999998E-2</v>
      </c>
      <c r="AU284">
        <v>-4.0299999999999997E-3</v>
      </c>
      <c r="AV284">
        <v>0.12626000000000001</v>
      </c>
      <c r="AW284">
        <v>-1.753E-2</v>
      </c>
      <c r="AX284">
        <v>5.0400000000000002E-3</v>
      </c>
      <c r="AY284">
        <v>-9.1E-4</v>
      </c>
      <c r="AZ284">
        <v>3.9879999999999999E-2</v>
      </c>
      <c r="BA284">
        <v>1</v>
      </c>
      <c r="BB284" t="s">
        <v>70</v>
      </c>
      <c r="BC284">
        <v>5.0000000000000001E-3</v>
      </c>
      <c r="BD284">
        <v>-0.115</v>
      </c>
      <c r="BE284" t="s">
        <v>71</v>
      </c>
    </row>
    <row r="285" spans="1:57">
      <c r="A285">
        <v>462</v>
      </c>
      <c r="B285" t="s">
        <v>723</v>
      </c>
      <c r="D285" t="s">
        <v>60</v>
      </c>
      <c r="E285" t="s">
        <v>724</v>
      </c>
      <c r="F285" t="s">
        <v>725</v>
      </c>
      <c r="G285">
        <v>511</v>
      </c>
      <c r="H285" t="s">
        <v>63</v>
      </c>
      <c r="I285">
        <v>5</v>
      </c>
      <c r="J285" t="str">
        <f>HYPERLINK("Gene462-zp_tree_all.dnd", "Gene462-tree")</f>
        <v>Gene462-tree</v>
      </c>
      <c r="K285">
        <v>3</v>
      </c>
      <c r="L285">
        <v>2</v>
      </c>
      <c r="M285">
        <v>2</v>
      </c>
      <c r="N285">
        <v>2</v>
      </c>
      <c r="O285">
        <v>0.5</v>
      </c>
      <c r="P285" t="s">
        <v>185</v>
      </c>
      <c r="Q285" t="s">
        <v>124</v>
      </c>
      <c r="R285" t="s">
        <v>66</v>
      </c>
      <c r="S285" t="s">
        <v>66</v>
      </c>
      <c r="T285">
        <v>0</v>
      </c>
      <c r="U285">
        <v>0</v>
      </c>
      <c r="V285">
        <v>6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6</v>
      </c>
      <c r="AG285">
        <v>0</v>
      </c>
      <c r="AH285">
        <v>4</v>
      </c>
      <c r="AI285">
        <v>1</v>
      </c>
      <c r="AJ285">
        <v>62</v>
      </c>
      <c r="AK285">
        <v>4</v>
      </c>
      <c r="AL285">
        <v>22</v>
      </c>
      <c r="AM285">
        <v>2</v>
      </c>
      <c r="AN285" t="s">
        <v>726</v>
      </c>
      <c r="AO285" t="s">
        <v>727</v>
      </c>
      <c r="AP285">
        <v>0.36399999999999999</v>
      </c>
      <c r="AQ285" t="s">
        <v>69</v>
      </c>
      <c r="AR285">
        <v>84</v>
      </c>
      <c r="AS285">
        <v>6</v>
      </c>
      <c r="AT285">
        <v>3.022E-2</v>
      </c>
      <c r="AU285">
        <v>-4.9899999999999996E-3</v>
      </c>
      <c r="AV285">
        <v>0.13320000000000001</v>
      </c>
      <c r="AW285">
        <v>-2.401E-2</v>
      </c>
      <c r="AX285">
        <v>2.8400000000000001E-3</v>
      </c>
      <c r="AY285">
        <v>-5.9000000000000003E-4</v>
      </c>
      <c r="AZ285">
        <v>2.1350000000000001E-2</v>
      </c>
      <c r="BA285">
        <v>1</v>
      </c>
      <c r="BB285" t="s">
        <v>70</v>
      </c>
      <c r="BC285">
        <v>-1.2E-2</v>
      </c>
      <c r="BD285">
        <v>-0.30099999999999999</v>
      </c>
      <c r="BE285" t="s">
        <v>71</v>
      </c>
    </row>
    <row r="286" spans="1:57">
      <c r="A286">
        <v>474</v>
      </c>
      <c r="B286" t="s">
        <v>737</v>
      </c>
      <c r="D286" t="s">
        <v>60</v>
      </c>
      <c r="E286" t="s">
        <v>738</v>
      </c>
      <c r="F286" t="s">
        <v>739</v>
      </c>
      <c r="G286">
        <v>335</v>
      </c>
      <c r="H286" t="s">
        <v>63</v>
      </c>
      <c r="I286">
        <v>5</v>
      </c>
      <c r="J286" t="str">
        <f>HYPERLINK("Gene474-zp_tree_all.dnd", "Gene474-tree")</f>
        <v>Gene474-tree</v>
      </c>
      <c r="K286">
        <v>3</v>
      </c>
      <c r="L286">
        <v>2</v>
      </c>
      <c r="M286">
        <v>3</v>
      </c>
      <c r="N286">
        <v>2</v>
      </c>
      <c r="O286">
        <v>0.4</v>
      </c>
      <c r="P286" t="s">
        <v>86</v>
      </c>
      <c r="Q286" t="s">
        <v>124</v>
      </c>
      <c r="R286" t="s">
        <v>66</v>
      </c>
      <c r="S286" t="s">
        <v>66</v>
      </c>
      <c r="T286">
        <v>0</v>
      </c>
      <c r="U286">
        <v>0</v>
      </c>
      <c r="V286">
        <v>4</v>
      </c>
      <c r="W286">
        <v>0</v>
      </c>
      <c r="X286">
        <v>0</v>
      </c>
      <c r="Y286">
        <v>0</v>
      </c>
      <c r="Z286">
        <v>0</v>
      </c>
      <c r="AA286">
        <v>2</v>
      </c>
      <c r="AB286">
        <v>0</v>
      </c>
      <c r="AC286">
        <v>0</v>
      </c>
      <c r="AD286">
        <v>0</v>
      </c>
      <c r="AE286">
        <v>0</v>
      </c>
      <c r="AF286">
        <v>4</v>
      </c>
      <c r="AG286">
        <v>0</v>
      </c>
      <c r="AH286">
        <v>4</v>
      </c>
      <c r="AI286">
        <v>2</v>
      </c>
      <c r="AJ286">
        <v>30</v>
      </c>
      <c r="AK286">
        <v>2</v>
      </c>
      <c r="AL286">
        <v>35</v>
      </c>
      <c r="AM286">
        <v>3</v>
      </c>
      <c r="AN286" t="s">
        <v>740</v>
      </c>
      <c r="AO286" t="s">
        <v>741</v>
      </c>
      <c r="AP286">
        <v>0.34899999999999998</v>
      </c>
      <c r="AQ286" t="s">
        <v>69</v>
      </c>
      <c r="AR286">
        <v>65</v>
      </c>
      <c r="AS286">
        <v>5</v>
      </c>
      <c r="AT286">
        <v>3.3529999999999997E-2</v>
      </c>
      <c r="AU286">
        <v>-4.8900000000000002E-3</v>
      </c>
      <c r="AV286">
        <v>0.16428999999999999</v>
      </c>
      <c r="AW286">
        <v>-2.4799999999999999E-2</v>
      </c>
      <c r="AX286">
        <v>3.3E-3</v>
      </c>
      <c r="AY286">
        <v>-5.6999999999999998E-4</v>
      </c>
      <c r="AZ286">
        <v>2.0109999999999999E-2</v>
      </c>
      <c r="BA286">
        <v>1</v>
      </c>
      <c r="BB286" t="s">
        <v>70</v>
      </c>
      <c r="BC286">
        <v>0.60699999999999998</v>
      </c>
      <c r="BD286">
        <v>0.29099999999999998</v>
      </c>
      <c r="BE286" t="s">
        <v>71</v>
      </c>
    </row>
    <row r="287" spans="1:57">
      <c r="A287">
        <v>477</v>
      </c>
      <c r="B287" t="s">
        <v>748</v>
      </c>
      <c r="D287" t="s">
        <v>60</v>
      </c>
      <c r="E287" t="s">
        <v>749</v>
      </c>
      <c r="F287" t="s">
        <v>750</v>
      </c>
      <c r="G287">
        <v>262</v>
      </c>
      <c r="H287" t="s">
        <v>85</v>
      </c>
      <c r="I287">
        <v>4</v>
      </c>
      <c r="J287" t="str">
        <f>HYPERLINK("Gene477-zp_tree_all.dnd", "Gene477-tree")</f>
        <v>Gene477-tree</v>
      </c>
      <c r="K287">
        <v>3</v>
      </c>
      <c r="L287">
        <v>1</v>
      </c>
      <c r="M287">
        <v>3</v>
      </c>
      <c r="N287">
        <v>1</v>
      </c>
      <c r="O287">
        <v>0.25</v>
      </c>
      <c r="P287" t="s">
        <v>86</v>
      </c>
      <c r="Q287" t="s">
        <v>65</v>
      </c>
      <c r="R287" t="s">
        <v>66</v>
      </c>
      <c r="S287" t="s">
        <v>66</v>
      </c>
      <c r="T287">
        <v>0</v>
      </c>
      <c r="U287">
        <v>0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4</v>
      </c>
      <c r="AI287">
        <v>1</v>
      </c>
      <c r="AJ287">
        <v>29</v>
      </c>
      <c r="AK287">
        <v>4</v>
      </c>
      <c r="AL287">
        <v>6</v>
      </c>
      <c r="AM287">
        <v>0</v>
      </c>
      <c r="AN287" t="s">
        <v>751</v>
      </c>
      <c r="AO287" t="s">
        <v>68</v>
      </c>
      <c r="AP287">
        <v>0.39400000000000002</v>
      </c>
      <c r="AQ287" t="s">
        <v>69</v>
      </c>
      <c r="AR287">
        <v>35</v>
      </c>
      <c r="AS287">
        <v>4</v>
      </c>
      <c r="AT287">
        <v>2.6079999999999999E-2</v>
      </c>
      <c r="AU287">
        <v>-7.3400000000000002E-3</v>
      </c>
      <c r="AV287">
        <v>0.11916</v>
      </c>
      <c r="AW287">
        <v>-3.3360000000000001E-2</v>
      </c>
      <c r="AX287">
        <v>3.2799999999999999E-3</v>
      </c>
      <c r="AY287">
        <v>-1.34E-3</v>
      </c>
      <c r="AZ287">
        <v>2.7539999999999999E-2</v>
      </c>
      <c r="BA287">
        <v>1</v>
      </c>
      <c r="BB287" t="s">
        <v>70</v>
      </c>
      <c r="BC287">
        <v>-0.377</v>
      </c>
      <c r="BD287">
        <v>-0.377</v>
      </c>
      <c r="BE287" t="s">
        <v>71</v>
      </c>
    </row>
    <row r="288" spans="1:57">
      <c r="A288">
        <v>478</v>
      </c>
      <c r="B288" t="s">
        <v>752</v>
      </c>
      <c r="D288" t="s">
        <v>60</v>
      </c>
      <c r="E288" t="s">
        <v>753</v>
      </c>
      <c r="F288" t="s">
        <v>754</v>
      </c>
      <c r="G288">
        <v>199</v>
      </c>
      <c r="H288" t="s">
        <v>106</v>
      </c>
      <c r="I288">
        <v>4</v>
      </c>
      <c r="J288" t="str">
        <f>HYPERLINK("Gene478-zp_tree_all.dnd", "Gene478-tree")</f>
        <v>Gene478-tree</v>
      </c>
      <c r="K288">
        <v>2</v>
      </c>
      <c r="L288">
        <v>2</v>
      </c>
      <c r="M288">
        <v>2</v>
      </c>
      <c r="N288">
        <v>2</v>
      </c>
      <c r="O288">
        <v>0.5</v>
      </c>
      <c r="P288" t="s">
        <v>124</v>
      </c>
      <c r="Q288" t="s">
        <v>124</v>
      </c>
      <c r="R288" t="s">
        <v>66</v>
      </c>
      <c r="S288" t="s">
        <v>66</v>
      </c>
      <c r="T288">
        <v>0</v>
      </c>
      <c r="U288">
        <v>0</v>
      </c>
      <c r="V288">
        <v>4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4</v>
      </c>
      <c r="AG288">
        <v>0</v>
      </c>
      <c r="AH288">
        <v>3</v>
      </c>
      <c r="AI288">
        <v>1</v>
      </c>
      <c r="AJ288">
        <v>20</v>
      </c>
      <c r="AK288">
        <v>3</v>
      </c>
      <c r="AL288">
        <v>2</v>
      </c>
      <c r="AM288">
        <v>1</v>
      </c>
      <c r="AN288" t="s">
        <v>755</v>
      </c>
      <c r="AO288" t="s">
        <v>756</v>
      </c>
      <c r="AP288">
        <v>2.09</v>
      </c>
      <c r="AQ288" t="s">
        <v>69</v>
      </c>
      <c r="AR288">
        <v>22</v>
      </c>
      <c r="AS288">
        <v>4</v>
      </c>
      <c r="AT288">
        <v>2.2610000000000002E-2</v>
      </c>
      <c r="AU288">
        <v>-6.5900000000000004E-3</v>
      </c>
      <c r="AV288">
        <v>9.2270000000000005E-2</v>
      </c>
      <c r="AW288">
        <v>-2.9700000000000001E-2</v>
      </c>
      <c r="AX288">
        <v>4.7099999999999998E-3</v>
      </c>
      <c r="AY288">
        <v>-9.5E-4</v>
      </c>
      <c r="AZ288">
        <v>5.1069999999999997E-2</v>
      </c>
      <c r="BA288">
        <v>1</v>
      </c>
      <c r="BB288" t="s">
        <v>70</v>
      </c>
      <c r="BC288">
        <v>-0.496</v>
      </c>
      <c r="BD288">
        <v>-0.496</v>
      </c>
      <c r="BE288" t="s">
        <v>71</v>
      </c>
    </row>
    <row r="289" spans="1:57">
      <c r="A289">
        <v>483</v>
      </c>
      <c r="B289" t="s">
        <v>757</v>
      </c>
      <c r="D289" t="s">
        <v>60</v>
      </c>
      <c r="E289" t="s">
        <v>758</v>
      </c>
      <c r="F289" t="s">
        <v>759</v>
      </c>
      <c r="G289">
        <v>150</v>
      </c>
      <c r="H289" t="s">
        <v>106</v>
      </c>
      <c r="I289">
        <v>4</v>
      </c>
      <c r="J289" t="str">
        <f>HYPERLINK("Gene483-zp_tree_all.dnd", "Gene483-tree")</f>
        <v>Gene483-tree</v>
      </c>
      <c r="K289">
        <v>0</v>
      </c>
      <c r="L289">
        <v>4</v>
      </c>
      <c r="M289">
        <v>0</v>
      </c>
      <c r="N289">
        <v>4</v>
      </c>
      <c r="O289">
        <v>1</v>
      </c>
      <c r="P289" t="s">
        <v>66</v>
      </c>
      <c r="Q289" t="s">
        <v>64</v>
      </c>
      <c r="R289" t="s">
        <v>66</v>
      </c>
      <c r="S289" t="s">
        <v>66</v>
      </c>
      <c r="T289">
        <v>0</v>
      </c>
      <c r="U289">
        <v>0</v>
      </c>
      <c r="V289">
        <v>6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6</v>
      </c>
      <c r="AG289">
        <v>0</v>
      </c>
      <c r="AH289">
        <v>4</v>
      </c>
      <c r="AI289">
        <v>1</v>
      </c>
      <c r="AJ289">
        <v>17</v>
      </c>
      <c r="AK289">
        <v>6</v>
      </c>
      <c r="AL289">
        <v>6</v>
      </c>
      <c r="AM289">
        <v>0</v>
      </c>
      <c r="AN289" t="s">
        <v>760</v>
      </c>
      <c r="AO289" t="s">
        <v>68</v>
      </c>
      <c r="AP289">
        <v>3.2040000000000002</v>
      </c>
      <c r="AQ289" t="s">
        <v>239</v>
      </c>
      <c r="AR289">
        <v>23</v>
      </c>
      <c r="AS289">
        <v>6</v>
      </c>
      <c r="AT289">
        <v>3.3329999999999999E-2</v>
      </c>
      <c r="AU289">
        <v>-4.1900000000000001E-3</v>
      </c>
      <c r="AV289">
        <v>0.14102000000000001</v>
      </c>
      <c r="AW289">
        <v>-2.1610000000000001E-2</v>
      </c>
      <c r="AX289">
        <v>8.4899999999999993E-3</v>
      </c>
      <c r="AY289">
        <v>-6.7000000000000002E-4</v>
      </c>
      <c r="AZ289">
        <v>6.019E-2</v>
      </c>
      <c r="BA289">
        <v>1</v>
      </c>
      <c r="BB289" t="s">
        <v>70</v>
      </c>
      <c r="BC289">
        <v>0.191</v>
      </c>
      <c r="BD289">
        <v>-0.159</v>
      </c>
      <c r="BE289" t="s">
        <v>71</v>
      </c>
    </row>
    <row r="290" spans="1:57">
      <c r="A290">
        <v>519</v>
      </c>
      <c r="B290" t="s">
        <v>761</v>
      </c>
      <c r="D290" t="s">
        <v>60</v>
      </c>
      <c r="E290" t="s">
        <v>762</v>
      </c>
      <c r="F290" t="s">
        <v>763</v>
      </c>
      <c r="G290">
        <v>66</v>
      </c>
      <c r="H290" t="s">
        <v>63</v>
      </c>
      <c r="I290">
        <v>5</v>
      </c>
      <c r="J290" t="str">
        <f>HYPERLINK("Gene519-zp_tree_all.dnd", "Gene519-tree")</f>
        <v>Gene519-tree</v>
      </c>
      <c r="K290">
        <v>4</v>
      </c>
      <c r="L290">
        <v>1</v>
      </c>
      <c r="M290">
        <v>3</v>
      </c>
      <c r="N290">
        <v>1</v>
      </c>
      <c r="O290">
        <v>0.25</v>
      </c>
      <c r="P290" t="s">
        <v>112</v>
      </c>
      <c r="Q290" t="s">
        <v>65</v>
      </c>
      <c r="R290" t="s">
        <v>66</v>
      </c>
      <c r="S290" t="s">
        <v>66</v>
      </c>
      <c r="T290">
        <v>0</v>
      </c>
      <c r="U290">
        <v>0</v>
      </c>
      <c r="V290">
        <v>3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2</v>
      </c>
      <c r="AG290">
        <v>0</v>
      </c>
      <c r="AH290">
        <v>3</v>
      </c>
      <c r="AI290">
        <v>1</v>
      </c>
      <c r="AJ290">
        <v>4</v>
      </c>
      <c r="AK290">
        <v>2</v>
      </c>
      <c r="AL290">
        <v>3</v>
      </c>
      <c r="AM290">
        <v>1</v>
      </c>
      <c r="AN290" t="s">
        <v>764</v>
      </c>
      <c r="AO290" t="s">
        <v>765</v>
      </c>
      <c r="AP290">
        <v>0.28699999999999998</v>
      </c>
      <c r="AQ290" t="s">
        <v>69</v>
      </c>
      <c r="AR290">
        <v>7</v>
      </c>
      <c r="AS290">
        <v>3</v>
      </c>
      <c r="AT290">
        <v>2.862E-2</v>
      </c>
      <c r="AU290">
        <v>-4.7099999999999998E-3</v>
      </c>
      <c r="AV290">
        <v>0.10731</v>
      </c>
      <c r="AW290">
        <v>-1.8610000000000002E-2</v>
      </c>
      <c r="AX290">
        <v>1.069E-2</v>
      </c>
      <c r="AY290">
        <v>-2.3E-3</v>
      </c>
      <c r="AZ290">
        <v>9.9629999999999996E-2</v>
      </c>
      <c r="BA290">
        <v>0.98899999999999999</v>
      </c>
      <c r="BB290" t="s">
        <v>70</v>
      </c>
      <c r="BC290">
        <v>0</v>
      </c>
      <c r="BD290">
        <v>0</v>
      </c>
      <c r="BE290" t="s">
        <v>71</v>
      </c>
    </row>
    <row r="291" spans="1:57">
      <c r="A291">
        <v>596</v>
      </c>
      <c r="B291" t="s">
        <v>795</v>
      </c>
      <c r="D291" t="s">
        <v>60</v>
      </c>
      <c r="E291" t="s">
        <v>796</v>
      </c>
      <c r="F291" t="s">
        <v>546</v>
      </c>
      <c r="G291">
        <v>237</v>
      </c>
      <c r="H291" t="s">
        <v>106</v>
      </c>
      <c r="I291">
        <v>4</v>
      </c>
      <c r="J291" t="str">
        <f>HYPERLINK("Gene596-zp_tree_all.dnd", "Gene596-tree")</f>
        <v>Gene596-tree</v>
      </c>
      <c r="K291">
        <v>0</v>
      </c>
      <c r="L291">
        <v>4</v>
      </c>
      <c r="M291">
        <v>0</v>
      </c>
      <c r="N291">
        <v>4</v>
      </c>
      <c r="O291">
        <v>1</v>
      </c>
      <c r="P291" t="s">
        <v>66</v>
      </c>
      <c r="Q291" t="s">
        <v>64</v>
      </c>
      <c r="R291" t="s">
        <v>66</v>
      </c>
      <c r="S291" t="s">
        <v>66</v>
      </c>
      <c r="T291">
        <v>0</v>
      </c>
      <c r="U291">
        <v>0</v>
      </c>
      <c r="V291">
        <v>7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7</v>
      </c>
      <c r="AG291">
        <v>0</v>
      </c>
      <c r="AH291">
        <v>3</v>
      </c>
      <c r="AI291">
        <v>1</v>
      </c>
      <c r="AJ291">
        <v>29</v>
      </c>
      <c r="AK291">
        <v>6</v>
      </c>
      <c r="AL291">
        <v>5</v>
      </c>
      <c r="AM291">
        <v>1</v>
      </c>
      <c r="AN291" t="s">
        <v>797</v>
      </c>
      <c r="AO291" t="s">
        <v>798</v>
      </c>
      <c r="AP291">
        <v>1.0999999999999999E-2</v>
      </c>
      <c r="AQ291" t="s">
        <v>69</v>
      </c>
      <c r="AR291">
        <v>34</v>
      </c>
      <c r="AS291">
        <v>7</v>
      </c>
      <c r="AT291">
        <v>3.024E-2</v>
      </c>
      <c r="AU291">
        <v>-5.1700000000000001E-3</v>
      </c>
      <c r="AV291">
        <v>0.12564</v>
      </c>
      <c r="AW291">
        <v>-2.436E-2</v>
      </c>
      <c r="AX291">
        <v>6.6499999999999997E-3</v>
      </c>
      <c r="AY291">
        <v>-1.0200000000000001E-3</v>
      </c>
      <c r="AZ291">
        <v>5.2940000000000001E-2</v>
      </c>
      <c r="BA291">
        <v>1</v>
      </c>
      <c r="BB291" t="s">
        <v>70</v>
      </c>
      <c r="BC291">
        <v>-0.40100000000000002</v>
      </c>
      <c r="BD291">
        <v>-0.40100000000000002</v>
      </c>
      <c r="BE291" t="s">
        <v>71</v>
      </c>
    </row>
    <row r="292" spans="1:57">
      <c r="A292">
        <v>603</v>
      </c>
      <c r="B292" t="s">
        <v>799</v>
      </c>
      <c r="D292" t="s">
        <v>60</v>
      </c>
      <c r="E292" t="s">
        <v>800</v>
      </c>
      <c r="F292" t="s">
        <v>801</v>
      </c>
      <c r="G292">
        <v>151</v>
      </c>
      <c r="H292" t="s">
        <v>63</v>
      </c>
      <c r="I292">
        <v>5</v>
      </c>
      <c r="J292" t="str">
        <f>HYPERLINK("Gene603-zp_tree_all.dnd", "Gene603-tree")</f>
        <v>Gene603-tree</v>
      </c>
      <c r="K292">
        <v>2</v>
      </c>
      <c r="L292">
        <v>3</v>
      </c>
      <c r="M292">
        <v>2</v>
      </c>
      <c r="N292">
        <v>3</v>
      </c>
      <c r="O292">
        <v>0.6</v>
      </c>
      <c r="P292" t="s">
        <v>124</v>
      </c>
      <c r="Q292" t="s">
        <v>86</v>
      </c>
      <c r="R292" t="s">
        <v>66</v>
      </c>
      <c r="S292" t="s">
        <v>66</v>
      </c>
      <c r="T292">
        <v>0</v>
      </c>
      <c r="U292">
        <v>0</v>
      </c>
      <c r="V292">
        <v>6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6</v>
      </c>
      <c r="AG292">
        <v>0</v>
      </c>
      <c r="AH292">
        <v>3</v>
      </c>
      <c r="AI292">
        <v>2</v>
      </c>
      <c r="AJ292">
        <v>13</v>
      </c>
      <c r="AK292">
        <v>3</v>
      </c>
      <c r="AL292">
        <v>8</v>
      </c>
      <c r="AM292">
        <v>3</v>
      </c>
      <c r="AN292" t="s">
        <v>802</v>
      </c>
      <c r="AO292" t="s">
        <v>803</v>
      </c>
      <c r="AP292">
        <v>0.433</v>
      </c>
      <c r="AQ292" t="s">
        <v>69</v>
      </c>
      <c r="AR292">
        <v>21</v>
      </c>
      <c r="AS292">
        <v>6</v>
      </c>
      <c r="AT292">
        <v>2.7369999999999998E-2</v>
      </c>
      <c r="AU292">
        <v>-5.11E-3</v>
      </c>
      <c r="AV292">
        <v>0.10133</v>
      </c>
      <c r="AW292">
        <v>-1.9730000000000001E-2</v>
      </c>
      <c r="AX292">
        <v>8.6E-3</v>
      </c>
      <c r="AY292">
        <v>-1.5200000000000001E-3</v>
      </c>
      <c r="AZ292">
        <v>8.4909999999999999E-2</v>
      </c>
      <c r="BA292">
        <v>1</v>
      </c>
      <c r="BB292" t="s">
        <v>70</v>
      </c>
      <c r="BC292">
        <v>0.248</v>
      </c>
      <c r="BD292">
        <v>-0.372</v>
      </c>
      <c r="BE292" t="s">
        <v>71</v>
      </c>
    </row>
    <row r="293" spans="1:57">
      <c r="A293">
        <v>606</v>
      </c>
      <c r="B293" t="s">
        <v>804</v>
      </c>
      <c r="D293" t="s">
        <v>60</v>
      </c>
      <c r="E293" t="s">
        <v>805</v>
      </c>
      <c r="F293" t="s">
        <v>806</v>
      </c>
      <c r="G293">
        <v>170</v>
      </c>
      <c r="H293" t="s">
        <v>63</v>
      </c>
      <c r="I293">
        <v>5</v>
      </c>
      <c r="J293" t="str">
        <f>HYPERLINK("Gene606-zp_tree_all.dnd", "Gene606-tree")</f>
        <v>Gene606-tree</v>
      </c>
      <c r="K293">
        <v>3</v>
      </c>
      <c r="L293">
        <v>2</v>
      </c>
      <c r="M293">
        <v>3</v>
      </c>
      <c r="N293">
        <v>2</v>
      </c>
      <c r="O293">
        <v>0.4</v>
      </c>
      <c r="P293" t="s">
        <v>86</v>
      </c>
      <c r="Q293" t="s">
        <v>124</v>
      </c>
      <c r="R293" t="s">
        <v>66</v>
      </c>
      <c r="S293" t="s">
        <v>66</v>
      </c>
      <c r="T293">
        <v>0</v>
      </c>
      <c r="U293">
        <v>0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3</v>
      </c>
      <c r="AG293">
        <v>0</v>
      </c>
      <c r="AH293">
        <v>5</v>
      </c>
      <c r="AI293">
        <v>2</v>
      </c>
      <c r="AJ293">
        <v>23</v>
      </c>
      <c r="AK293">
        <v>3</v>
      </c>
      <c r="AL293">
        <v>4</v>
      </c>
      <c r="AM293">
        <v>0</v>
      </c>
      <c r="AN293" t="s">
        <v>807</v>
      </c>
      <c r="AO293" t="s">
        <v>68</v>
      </c>
      <c r="AP293">
        <v>1.0620000000000001</v>
      </c>
      <c r="AQ293" t="s">
        <v>69</v>
      </c>
      <c r="AR293">
        <v>27</v>
      </c>
      <c r="AS293">
        <v>3</v>
      </c>
      <c r="AT293">
        <v>2.392E-2</v>
      </c>
      <c r="AU293">
        <v>-2.49E-3</v>
      </c>
      <c r="AV293">
        <v>0.10639999999999999</v>
      </c>
      <c r="AW293">
        <v>-1.095E-2</v>
      </c>
      <c r="AX293">
        <v>3.0200000000000001E-3</v>
      </c>
      <c r="AY293">
        <v>-7.7999999999999999E-4</v>
      </c>
      <c r="AZ293">
        <v>2.8410000000000001E-2</v>
      </c>
      <c r="BA293">
        <v>1</v>
      </c>
      <c r="BB293" t="s">
        <v>70</v>
      </c>
      <c r="BC293">
        <v>-0.68899999999999995</v>
      </c>
      <c r="BD293">
        <v>-0.68899999999999995</v>
      </c>
      <c r="BE293" t="s">
        <v>71</v>
      </c>
    </row>
    <row r="294" spans="1:57">
      <c r="A294">
        <v>607</v>
      </c>
      <c r="B294" t="s">
        <v>808</v>
      </c>
      <c r="D294" t="s">
        <v>60</v>
      </c>
      <c r="E294" t="s">
        <v>809</v>
      </c>
      <c r="F294" t="s">
        <v>810</v>
      </c>
      <c r="G294">
        <v>215</v>
      </c>
      <c r="H294" t="s">
        <v>63</v>
      </c>
      <c r="I294">
        <v>5</v>
      </c>
      <c r="J294" t="str">
        <f>HYPERLINK("Gene607-zp_tree_all.dnd", "Gene607-tree")</f>
        <v>Gene607-tree</v>
      </c>
      <c r="K294">
        <v>5</v>
      </c>
      <c r="L294">
        <v>0</v>
      </c>
      <c r="M294">
        <v>5</v>
      </c>
      <c r="N294">
        <v>0</v>
      </c>
      <c r="O294">
        <v>0</v>
      </c>
      <c r="P294" t="s">
        <v>96</v>
      </c>
      <c r="Q294" t="s">
        <v>66</v>
      </c>
      <c r="R294" t="s">
        <v>66</v>
      </c>
      <c r="S294" t="s">
        <v>66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5</v>
      </c>
      <c r="AI294">
        <v>2</v>
      </c>
      <c r="AJ294">
        <v>14</v>
      </c>
      <c r="AK294">
        <v>0</v>
      </c>
      <c r="AL294">
        <v>11</v>
      </c>
      <c r="AM294">
        <v>1</v>
      </c>
      <c r="AN294" t="s">
        <v>68</v>
      </c>
      <c r="AO294" t="s">
        <v>811</v>
      </c>
      <c r="AP294">
        <v>0.84199999999999997</v>
      </c>
      <c r="AQ294" t="s">
        <v>69</v>
      </c>
      <c r="AR294">
        <v>25</v>
      </c>
      <c r="AS294">
        <v>1</v>
      </c>
      <c r="AT294">
        <v>1.984E-2</v>
      </c>
      <c r="AU294">
        <v>-3.3999999999999998E-3</v>
      </c>
      <c r="AV294">
        <v>8.6249999999999993E-2</v>
      </c>
      <c r="AW294">
        <v>-1.5100000000000001E-2</v>
      </c>
      <c r="AX294">
        <v>1.2199999999999999E-3</v>
      </c>
      <c r="AY294">
        <v>-2.9E-4</v>
      </c>
      <c r="AZ294">
        <v>1.414E-2</v>
      </c>
      <c r="BA294">
        <v>1</v>
      </c>
      <c r="BB294" t="s">
        <v>70</v>
      </c>
      <c r="BC294">
        <v>0.191</v>
      </c>
      <c r="BD294">
        <v>0.191</v>
      </c>
      <c r="BE294" t="s">
        <v>71</v>
      </c>
    </row>
    <row r="295" spans="1:57">
      <c r="A295">
        <v>608</v>
      </c>
      <c r="B295" t="s">
        <v>812</v>
      </c>
      <c r="D295" t="s">
        <v>60</v>
      </c>
      <c r="E295" t="s">
        <v>813</v>
      </c>
      <c r="F295" t="s">
        <v>814</v>
      </c>
      <c r="G295">
        <v>57</v>
      </c>
      <c r="H295" t="s">
        <v>63</v>
      </c>
      <c r="I295">
        <v>5</v>
      </c>
      <c r="J295" t="str">
        <f>HYPERLINK("Gene608-zp_tree_all.dnd", "Gene608-tree")</f>
        <v>Gene608-tree</v>
      </c>
      <c r="K295">
        <v>5</v>
      </c>
      <c r="L295">
        <v>0</v>
      </c>
      <c r="M295">
        <v>5</v>
      </c>
      <c r="N295">
        <v>0</v>
      </c>
      <c r="O295">
        <v>0</v>
      </c>
      <c r="P295" t="s">
        <v>96</v>
      </c>
      <c r="Q295" t="s">
        <v>66</v>
      </c>
      <c r="R295" t="s">
        <v>66</v>
      </c>
      <c r="S295" t="s">
        <v>66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5</v>
      </c>
      <c r="AI295">
        <v>2</v>
      </c>
      <c r="AJ295">
        <v>6</v>
      </c>
      <c r="AK295">
        <v>0</v>
      </c>
      <c r="AL295">
        <v>6</v>
      </c>
      <c r="AM295">
        <v>1</v>
      </c>
      <c r="AN295" t="s">
        <v>68</v>
      </c>
      <c r="AO295" t="s">
        <v>815</v>
      </c>
      <c r="AP295">
        <v>1.26</v>
      </c>
      <c r="AQ295" t="s">
        <v>69</v>
      </c>
      <c r="AR295">
        <v>12</v>
      </c>
      <c r="AS295">
        <v>1</v>
      </c>
      <c r="AT295">
        <v>3.3329999999999999E-2</v>
      </c>
      <c r="AU295">
        <v>-5.0299999999999997E-3</v>
      </c>
      <c r="AV295">
        <v>0.14577999999999999</v>
      </c>
      <c r="AW295">
        <v>-2.1680000000000001E-2</v>
      </c>
      <c r="AX295">
        <v>4.5799999999999999E-3</v>
      </c>
      <c r="AY295">
        <v>-1.09E-3</v>
      </c>
      <c r="AZ295">
        <v>3.1399999999999997E-2</v>
      </c>
      <c r="BA295">
        <v>1</v>
      </c>
      <c r="BB295" t="s">
        <v>70</v>
      </c>
      <c r="BC295">
        <v>1.3420000000000001</v>
      </c>
      <c r="BD295">
        <v>0</v>
      </c>
      <c r="BE295" t="s">
        <v>71</v>
      </c>
    </row>
    <row r="296" spans="1:57">
      <c r="A296">
        <v>613</v>
      </c>
      <c r="B296" t="s">
        <v>821</v>
      </c>
      <c r="D296" t="s">
        <v>60</v>
      </c>
      <c r="E296" t="s">
        <v>822</v>
      </c>
      <c r="F296" t="s">
        <v>232</v>
      </c>
      <c r="G296">
        <v>544</v>
      </c>
      <c r="H296" t="s">
        <v>63</v>
      </c>
      <c r="I296">
        <v>5</v>
      </c>
      <c r="J296" t="str">
        <f>HYPERLINK("Gene613-zp_tree_all.dnd", "Gene613-tree")</f>
        <v>Gene613-tree</v>
      </c>
      <c r="K296">
        <v>4</v>
      </c>
      <c r="L296">
        <v>1</v>
      </c>
      <c r="M296">
        <v>4</v>
      </c>
      <c r="N296">
        <v>1</v>
      </c>
      <c r="O296">
        <v>0.2</v>
      </c>
      <c r="P296" t="s">
        <v>64</v>
      </c>
      <c r="Q296" t="s">
        <v>65</v>
      </c>
      <c r="R296" t="s">
        <v>66</v>
      </c>
      <c r="S296" t="s">
        <v>66</v>
      </c>
      <c r="T296">
        <v>0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2</v>
      </c>
      <c r="AB296">
        <v>0</v>
      </c>
      <c r="AC296">
        <v>0</v>
      </c>
      <c r="AD296">
        <v>0</v>
      </c>
      <c r="AE296">
        <v>0</v>
      </c>
      <c r="AF296">
        <v>1</v>
      </c>
      <c r="AG296">
        <v>0</v>
      </c>
      <c r="AH296">
        <v>5</v>
      </c>
      <c r="AI296">
        <v>2</v>
      </c>
      <c r="AJ296">
        <v>51</v>
      </c>
      <c r="AK296">
        <v>1</v>
      </c>
      <c r="AL296">
        <v>11</v>
      </c>
      <c r="AM296">
        <v>2</v>
      </c>
      <c r="AN296" t="s">
        <v>823</v>
      </c>
      <c r="AO296" t="s">
        <v>824</v>
      </c>
      <c r="AP296">
        <v>1.137</v>
      </c>
      <c r="AQ296" t="s">
        <v>69</v>
      </c>
      <c r="AR296">
        <v>62</v>
      </c>
      <c r="AS296">
        <v>3</v>
      </c>
      <c r="AT296">
        <v>1.617E-2</v>
      </c>
      <c r="AU296">
        <v>-1.16E-3</v>
      </c>
      <c r="AV296">
        <v>6.5490000000000007E-2</v>
      </c>
      <c r="AW296">
        <v>-4.5900000000000003E-3</v>
      </c>
      <c r="AX296">
        <v>1.31E-3</v>
      </c>
      <c r="AY296">
        <v>-2.3000000000000001E-4</v>
      </c>
      <c r="AZ296">
        <v>2.001E-2</v>
      </c>
      <c r="BA296">
        <v>1</v>
      </c>
      <c r="BB296" t="s">
        <v>70</v>
      </c>
      <c r="BC296">
        <v>-0.13300000000000001</v>
      </c>
      <c r="BD296">
        <v>-0.28199999999999997</v>
      </c>
      <c r="BE296" t="s">
        <v>71</v>
      </c>
    </row>
    <row r="297" spans="1:57">
      <c r="A297">
        <v>634</v>
      </c>
      <c r="B297" t="s">
        <v>825</v>
      </c>
      <c r="D297" t="s">
        <v>60</v>
      </c>
      <c r="E297" t="s">
        <v>826</v>
      </c>
      <c r="F297" t="s">
        <v>74</v>
      </c>
      <c r="G297">
        <v>123</v>
      </c>
      <c r="H297" t="s">
        <v>63</v>
      </c>
      <c r="I297">
        <v>5</v>
      </c>
      <c r="J297" t="str">
        <f>HYPERLINK("Gene634-zp_tree_all.dnd", "Gene634-tree")</f>
        <v>Gene634-tree</v>
      </c>
      <c r="K297">
        <v>5</v>
      </c>
      <c r="L297">
        <v>0</v>
      </c>
      <c r="M297">
        <v>5</v>
      </c>
      <c r="N297">
        <v>0</v>
      </c>
      <c r="O297">
        <v>0</v>
      </c>
      <c r="P297" t="s">
        <v>96</v>
      </c>
      <c r="Q297" t="s">
        <v>66</v>
      </c>
      <c r="R297" t="s">
        <v>66</v>
      </c>
      <c r="S297" t="s">
        <v>66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3</v>
      </c>
      <c r="AI297">
        <v>2</v>
      </c>
      <c r="AJ297">
        <v>5</v>
      </c>
      <c r="AK297">
        <v>0</v>
      </c>
      <c r="AL297">
        <v>9</v>
      </c>
      <c r="AM297">
        <v>1</v>
      </c>
      <c r="AN297" t="s">
        <v>68</v>
      </c>
      <c r="AO297" t="s">
        <v>827</v>
      </c>
      <c r="AP297">
        <v>0.872</v>
      </c>
      <c r="AQ297" t="s">
        <v>69</v>
      </c>
      <c r="AR297">
        <v>14</v>
      </c>
      <c r="AS297">
        <v>1</v>
      </c>
      <c r="AT297">
        <v>2.087E-2</v>
      </c>
      <c r="AU297">
        <v>-3.62E-3</v>
      </c>
      <c r="AV297">
        <v>9.0329999999999994E-2</v>
      </c>
      <c r="AW297">
        <v>-1.6910000000000001E-2</v>
      </c>
      <c r="AX297">
        <v>2.1199999999999999E-3</v>
      </c>
      <c r="AY297">
        <v>-4.0999999999999999E-4</v>
      </c>
      <c r="AZ297">
        <v>2.3449999999999999E-2</v>
      </c>
      <c r="BA297">
        <v>1</v>
      </c>
      <c r="BB297" t="s">
        <v>70</v>
      </c>
      <c r="BC297">
        <v>1.0629999999999999</v>
      </c>
      <c r="BD297">
        <v>0.52100000000000002</v>
      </c>
      <c r="BE297" t="s">
        <v>71</v>
      </c>
    </row>
    <row r="298" spans="1:57">
      <c r="A298">
        <v>650</v>
      </c>
      <c r="B298" t="s">
        <v>833</v>
      </c>
      <c r="D298" t="s">
        <v>60</v>
      </c>
      <c r="E298" t="s">
        <v>834</v>
      </c>
      <c r="F298" t="s">
        <v>74</v>
      </c>
      <c r="G298">
        <v>55</v>
      </c>
      <c r="H298" t="s">
        <v>106</v>
      </c>
      <c r="I298">
        <v>4</v>
      </c>
      <c r="J298" t="str">
        <f>HYPERLINK("Gene650-zp_tree_all.dnd", "Gene650-tree")</f>
        <v>Gene650-tree</v>
      </c>
      <c r="K298">
        <v>3</v>
      </c>
      <c r="L298">
        <v>1</v>
      </c>
      <c r="M298">
        <v>3</v>
      </c>
      <c r="N298">
        <v>1</v>
      </c>
      <c r="O298">
        <v>0.25</v>
      </c>
      <c r="P298" t="s">
        <v>86</v>
      </c>
      <c r="Q298" t="s">
        <v>65</v>
      </c>
      <c r="R298" t="s">
        <v>66</v>
      </c>
      <c r="S298" t="s">
        <v>66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4</v>
      </c>
      <c r="AI298">
        <v>1</v>
      </c>
      <c r="AJ298">
        <v>9</v>
      </c>
      <c r="AK298">
        <v>1</v>
      </c>
      <c r="AL298">
        <v>1</v>
      </c>
      <c r="AM298">
        <v>0</v>
      </c>
      <c r="AN298" t="s">
        <v>835</v>
      </c>
      <c r="AO298" t="s">
        <v>68</v>
      </c>
      <c r="AP298">
        <v>0.496</v>
      </c>
      <c r="AQ298" t="s">
        <v>69</v>
      </c>
      <c r="AR298">
        <v>10</v>
      </c>
      <c r="AS298">
        <v>1</v>
      </c>
      <c r="AT298">
        <v>3.2320000000000002E-2</v>
      </c>
      <c r="AU298">
        <v>-8.4100000000000008E-3</v>
      </c>
      <c r="AV298">
        <v>0.15912999999999999</v>
      </c>
      <c r="AW298">
        <v>-4.1590000000000002E-2</v>
      </c>
      <c r="AX298">
        <v>3.8700000000000002E-3</v>
      </c>
      <c r="AY298">
        <v>-1.58E-3</v>
      </c>
      <c r="AZ298">
        <v>2.4309999999999998E-2</v>
      </c>
      <c r="BA298">
        <v>1</v>
      </c>
      <c r="BB298" t="s">
        <v>70</v>
      </c>
      <c r="BC298">
        <v>-0.222</v>
      </c>
      <c r="BD298">
        <v>-0.222</v>
      </c>
      <c r="BE298" t="s">
        <v>71</v>
      </c>
    </row>
    <row r="299" spans="1:57">
      <c r="A299">
        <v>651</v>
      </c>
      <c r="B299" t="s">
        <v>836</v>
      </c>
      <c r="D299" t="s">
        <v>60</v>
      </c>
      <c r="E299" t="s">
        <v>837</v>
      </c>
      <c r="F299" t="s">
        <v>74</v>
      </c>
      <c r="G299">
        <v>184</v>
      </c>
      <c r="H299" t="s">
        <v>63</v>
      </c>
      <c r="I299">
        <v>5</v>
      </c>
      <c r="J299" t="str">
        <f>HYPERLINK("Gene651-zp_tree_all.dnd", "Gene651-tree")</f>
        <v>Gene651-tree</v>
      </c>
      <c r="K299">
        <v>2</v>
      </c>
      <c r="L299">
        <v>3</v>
      </c>
      <c r="M299">
        <v>2</v>
      </c>
      <c r="N299">
        <v>3</v>
      </c>
      <c r="O299">
        <v>0.6</v>
      </c>
      <c r="P299" t="s">
        <v>124</v>
      </c>
      <c r="Q299" t="s">
        <v>86</v>
      </c>
      <c r="R299" t="s">
        <v>66</v>
      </c>
      <c r="S299" t="s">
        <v>66</v>
      </c>
      <c r="T299">
        <v>0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2</v>
      </c>
      <c r="AB299">
        <v>0</v>
      </c>
      <c r="AC299">
        <v>0</v>
      </c>
      <c r="AD299">
        <v>0</v>
      </c>
      <c r="AE299">
        <v>0</v>
      </c>
      <c r="AF299">
        <v>3</v>
      </c>
      <c r="AG299">
        <v>0</v>
      </c>
      <c r="AH299">
        <v>4</v>
      </c>
      <c r="AI299">
        <v>2</v>
      </c>
      <c r="AJ299">
        <v>22</v>
      </c>
      <c r="AK299">
        <v>3</v>
      </c>
      <c r="AL299">
        <v>8</v>
      </c>
      <c r="AM299">
        <v>2</v>
      </c>
      <c r="AN299" t="s">
        <v>838</v>
      </c>
      <c r="AO299" t="s">
        <v>839</v>
      </c>
      <c r="AP299">
        <v>0.60099999999999998</v>
      </c>
      <c r="AQ299" t="s">
        <v>69</v>
      </c>
      <c r="AR299">
        <v>30</v>
      </c>
      <c r="AS299">
        <v>5</v>
      </c>
      <c r="AT299">
        <v>2.7900000000000001E-2</v>
      </c>
      <c r="AU299">
        <v>-2.8999999999999998E-3</v>
      </c>
      <c r="AV299">
        <v>0.10483000000000001</v>
      </c>
      <c r="AW299">
        <v>-1.179E-2</v>
      </c>
      <c r="AX299">
        <v>5.77E-3</v>
      </c>
      <c r="AY299">
        <v>-8.4999999999999995E-4</v>
      </c>
      <c r="AZ299">
        <v>5.5030000000000003E-2</v>
      </c>
      <c r="BA299">
        <v>1</v>
      </c>
      <c r="BB299" t="s">
        <v>70</v>
      </c>
      <c r="BC299">
        <v>-0.20799999999999999</v>
      </c>
      <c r="BD299">
        <v>-0.20799999999999999</v>
      </c>
      <c r="BE299" t="s">
        <v>71</v>
      </c>
    </row>
    <row r="300" spans="1:57">
      <c r="A300">
        <v>652</v>
      </c>
      <c r="B300" t="s">
        <v>840</v>
      </c>
      <c r="D300" t="s">
        <v>60</v>
      </c>
      <c r="E300" t="s">
        <v>841</v>
      </c>
      <c r="F300" t="s">
        <v>74</v>
      </c>
      <c r="G300">
        <v>65</v>
      </c>
      <c r="H300" t="s">
        <v>63</v>
      </c>
      <c r="I300">
        <v>5</v>
      </c>
      <c r="J300" t="str">
        <f>HYPERLINK("Gene652-zp_tree_all.dnd", "Gene652-tree")</f>
        <v>Gene652-tree</v>
      </c>
      <c r="K300">
        <v>4</v>
      </c>
      <c r="L300">
        <v>1</v>
      </c>
      <c r="M300">
        <v>4</v>
      </c>
      <c r="N300">
        <v>1</v>
      </c>
      <c r="O300">
        <v>0.2</v>
      </c>
      <c r="P300" t="s">
        <v>64</v>
      </c>
      <c r="Q300" t="s">
        <v>65</v>
      </c>
      <c r="R300" t="s">
        <v>66</v>
      </c>
      <c r="S300" t="s">
        <v>66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4</v>
      </c>
      <c r="AI300">
        <v>1</v>
      </c>
      <c r="AJ300">
        <v>6</v>
      </c>
      <c r="AK300">
        <v>1</v>
      </c>
      <c r="AL300">
        <v>1</v>
      </c>
      <c r="AM300">
        <v>0</v>
      </c>
      <c r="AN300" t="s">
        <v>842</v>
      </c>
      <c r="AO300" t="s">
        <v>68</v>
      </c>
      <c r="AP300">
        <v>0.59499999999999997</v>
      </c>
      <c r="AQ300" t="s">
        <v>69</v>
      </c>
      <c r="AR300">
        <v>7</v>
      </c>
      <c r="AS300">
        <v>1</v>
      </c>
      <c r="AT300">
        <v>1.7440000000000001E-2</v>
      </c>
      <c r="AU300">
        <v>-2.4299999999999999E-3</v>
      </c>
      <c r="AV300">
        <v>8.4419999999999995E-2</v>
      </c>
      <c r="AW300">
        <v>-1.315E-2</v>
      </c>
      <c r="AX300">
        <v>2.5600000000000002E-3</v>
      </c>
      <c r="AY300">
        <v>-9.8999999999999999E-4</v>
      </c>
      <c r="AZ300">
        <v>3.032E-2</v>
      </c>
      <c r="BA300">
        <v>1</v>
      </c>
      <c r="BB300" t="s">
        <v>70</v>
      </c>
      <c r="BC300">
        <v>-0.80700000000000005</v>
      </c>
      <c r="BD300">
        <v>-0.80700000000000005</v>
      </c>
      <c r="BE300" t="s">
        <v>71</v>
      </c>
    </row>
    <row r="301" spans="1:57">
      <c r="A301">
        <v>653</v>
      </c>
      <c r="B301" t="s">
        <v>843</v>
      </c>
      <c r="D301" t="s">
        <v>60</v>
      </c>
      <c r="E301" t="s">
        <v>844</v>
      </c>
      <c r="F301" t="s">
        <v>845</v>
      </c>
      <c r="G301">
        <v>162</v>
      </c>
      <c r="H301" t="s">
        <v>63</v>
      </c>
      <c r="I301">
        <v>5</v>
      </c>
      <c r="J301" t="str">
        <f>HYPERLINK("Gene653-zp_tree_all.dnd", "Gene653-tree")</f>
        <v>Gene653-tree</v>
      </c>
      <c r="K301">
        <v>3</v>
      </c>
      <c r="L301">
        <v>2</v>
      </c>
      <c r="M301">
        <v>3</v>
      </c>
      <c r="N301">
        <v>2</v>
      </c>
      <c r="O301">
        <v>0.4</v>
      </c>
      <c r="P301" t="s">
        <v>86</v>
      </c>
      <c r="Q301" t="s">
        <v>124</v>
      </c>
      <c r="R301" t="s">
        <v>66</v>
      </c>
      <c r="S301" t="s">
        <v>66</v>
      </c>
      <c r="T301">
        <v>0</v>
      </c>
      <c r="U301">
        <v>0</v>
      </c>
      <c r="V301">
        <v>5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0</v>
      </c>
      <c r="AC301">
        <v>0</v>
      </c>
      <c r="AD301">
        <v>0</v>
      </c>
      <c r="AE301">
        <v>0</v>
      </c>
      <c r="AF301">
        <v>2</v>
      </c>
      <c r="AG301">
        <v>0</v>
      </c>
      <c r="AH301">
        <v>4</v>
      </c>
      <c r="AI301">
        <v>2</v>
      </c>
      <c r="AJ301">
        <v>8</v>
      </c>
      <c r="AK301">
        <v>2</v>
      </c>
      <c r="AL301">
        <v>15</v>
      </c>
      <c r="AM301">
        <v>3</v>
      </c>
      <c r="AN301" t="s">
        <v>846</v>
      </c>
      <c r="AO301" t="s">
        <v>847</v>
      </c>
      <c r="AP301">
        <v>0.22700000000000001</v>
      </c>
      <c r="AQ301" t="s">
        <v>69</v>
      </c>
      <c r="AR301">
        <v>23</v>
      </c>
      <c r="AS301">
        <v>5</v>
      </c>
      <c r="AT301">
        <v>2.9219999999999999E-2</v>
      </c>
      <c r="AU301">
        <v>-5.3499999999999997E-3</v>
      </c>
      <c r="AV301">
        <v>0.10745</v>
      </c>
      <c r="AW301">
        <v>-2.0760000000000001E-2</v>
      </c>
      <c r="AX301">
        <v>7.1300000000000001E-3</v>
      </c>
      <c r="AY301">
        <v>-1.0200000000000001E-3</v>
      </c>
      <c r="AZ301">
        <v>6.6309999999999994E-2</v>
      </c>
      <c r="BA301">
        <v>1</v>
      </c>
      <c r="BB301" t="s">
        <v>70</v>
      </c>
      <c r="BC301">
        <v>1.0269999999999999</v>
      </c>
      <c r="BD301">
        <v>0.43</v>
      </c>
      <c r="BE301" t="s">
        <v>71</v>
      </c>
    </row>
    <row r="302" spans="1:57">
      <c r="A302">
        <v>657</v>
      </c>
      <c r="B302" t="s">
        <v>863</v>
      </c>
      <c r="D302" t="s">
        <v>60</v>
      </c>
      <c r="E302" t="s">
        <v>864</v>
      </c>
      <c r="F302" t="s">
        <v>74</v>
      </c>
      <c r="G302">
        <v>84</v>
      </c>
      <c r="H302" t="s">
        <v>63</v>
      </c>
      <c r="I302">
        <v>5</v>
      </c>
      <c r="J302" t="str">
        <f>HYPERLINK("Gene657-zp_tree_all.dnd", "Gene657-tree")</f>
        <v>Gene657-tree</v>
      </c>
      <c r="K302">
        <v>4</v>
      </c>
      <c r="L302">
        <v>1</v>
      </c>
      <c r="M302">
        <v>4</v>
      </c>
      <c r="N302">
        <v>1</v>
      </c>
      <c r="O302">
        <v>0.2</v>
      </c>
      <c r="P302" t="s">
        <v>64</v>
      </c>
      <c r="Q302" t="s">
        <v>65</v>
      </c>
      <c r="R302" t="s">
        <v>66</v>
      </c>
      <c r="S302" t="s">
        <v>66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4</v>
      </c>
      <c r="AI302">
        <v>2</v>
      </c>
      <c r="AJ302">
        <v>7</v>
      </c>
      <c r="AK302">
        <v>1</v>
      </c>
      <c r="AL302">
        <v>5</v>
      </c>
      <c r="AM302">
        <v>0</v>
      </c>
      <c r="AN302" t="s">
        <v>865</v>
      </c>
      <c r="AO302" t="s">
        <v>68</v>
      </c>
      <c r="AP302">
        <v>0.61799999999999999</v>
      </c>
      <c r="AQ302" t="s">
        <v>69</v>
      </c>
      <c r="AR302">
        <v>12</v>
      </c>
      <c r="AS302">
        <v>1</v>
      </c>
      <c r="AT302">
        <v>2.46E-2</v>
      </c>
      <c r="AU302">
        <v>-3.3999999999999998E-3</v>
      </c>
      <c r="AV302">
        <v>0.11620999999999999</v>
      </c>
      <c r="AW302">
        <v>-1.7840000000000002E-2</v>
      </c>
      <c r="AX302">
        <v>2.0400000000000001E-3</v>
      </c>
      <c r="AY302">
        <v>-7.9000000000000001E-4</v>
      </c>
      <c r="AZ302">
        <v>1.7510000000000001E-2</v>
      </c>
      <c r="BA302">
        <v>1</v>
      </c>
      <c r="BB302" t="s">
        <v>70</v>
      </c>
      <c r="BC302">
        <v>-4.7E-2</v>
      </c>
      <c r="BD302">
        <v>-4.7E-2</v>
      </c>
      <c r="BE302" t="s">
        <v>71</v>
      </c>
    </row>
    <row r="303" spans="1:57">
      <c r="A303">
        <v>658</v>
      </c>
      <c r="B303" t="s">
        <v>866</v>
      </c>
      <c r="D303" t="s">
        <v>60</v>
      </c>
      <c r="E303" t="s">
        <v>867</v>
      </c>
      <c r="F303" t="s">
        <v>868</v>
      </c>
      <c r="G303">
        <v>227</v>
      </c>
      <c r="H303" t="s">
        <v>63</v>
      </c>
      <c r="I303">
        <v>5</v>
      </c>
      <c r="J303" t="str">
        <f>HYPERLINK("Gene658-zp_tree_all.dnd", "Gene658-tree")</f>
        <v>Gene658-tree</v>
      </c>
      <c r="K303">
        <v>2</v>
      </c>
      <c r="L303">
        <v>3</v>
      </c>
      <c r="M303">
        <v>2</v>
      </c>
      <c r="N303">
        <v>3</v>
      </c>
      <c r="O303">
        <v>0.6</v>
      </c>
      <c r="P303" t="s">
        <v>124</v>
      </c>
      <c r="Q303" t="s">
        <v>86</v>
      </c>
      <c r="R303" t="s">
        <v>66</v>
      </c>
      <c r="S303" t="s">
        <v>66</v>
      </c>
      <c r="T303">
        <v>0</v>
      </c>
      <c r="U303">
        <v>0</v>
      </c>
      <c r="V303">
        <v>5</v>
      </c>
      <c r="W303">
        <v>0</v>
      </c>
      <c r="X303">
        <v>0</v>
      </c>
      <c r="Y303">
        <v>0</v>
      </c>
      <c r="Z303">
        <v>0</v>
      </c>
      <c r="AA303">
        <v>2</v>
      </c>
      <c r="AB303">
        <v>0</v>
      </c>
      <c r="AC303">
        <v>0</v>
      </c>
      <c r="AD303">
        <v>0</v>
      </c>
      <c r="AE303">
        <v>0</v>
      </c>
      <c r="AF303">
        <v>3</v>
      </c>
      <c r="AG303">
        <v>0</v>
      </c>
      <c r="AH303">
        <v>5</v>
      </c>
      <c r="AI303">
        <v>2</v>
      </c>
      <c r="AJ303">
        <v>16</v>
      </c>
      <c r="AK303">
        <v>3</v>
      </c>
      <c r="AL303">
        <v>20</v>
      </c>
      <c r="AM303">
        <v>2</v>
      </c>
      <c r="AN303" t="s">
        <v>869</v>
      </c>
      <c r="AO303" t="s">
        <v>870</v>
      </c>
      <c r="AP303">
        <v>0.68</v>
      </c>
      <c r="AQ303" t="s">
        <v>69</v>
      </c>
      <c r="AR303">
        <v>36</v>
      </c>
      <c r="AS303">
        <v>5</v>
      </c>
      <c r="AT303">
        <v>2.9219999999999999E-2</v>
      </c>
      <c r="AU303">
        <v>-3.98E-3</v>
      </c>
      <c r="AV303">
        <v>0.1246</v>
      </c>
      <c r="AW303">
        <v>-1.7909999999999999E-2</v>
      </c>
      <c r="AX303">
        <v>4.5799999999999999E-3</v>
      </c>
      <c r="AY303">
        <v>-6.7000000000000002E-4</v>
      </c>
      <c r="AZ303">
        <v>3.6749999999999998E-2</v>
      </c>
      <c r="BA303">
        <v>1</v>
      </c>
      <c r="BB303" t="s">
        <v>70</v>
      </c>
      <c r="BC303">
        <v>0.68400000000000005</v>
      </c>
      <c r="BD303">
        <v>0.47799999999999998</v>
      </c>
      <c r="BE303" t="s">
        <v>71</v>
      </c>
    </row>
    <row r="304" spans="1:57">
      <c r="A304">
        <v>668</v>
      </c>
      <c r="B304" t="s">
        <v>871</v>
      </c>
      <c r="D304" t="s">
        <v>60</v>
      </c>
      <c r="E304" t="s">
        <v>872</v>
      </c>
      <c r="F304" t="s">
        <v>873</v>
      </c>
      <c r="G304">
        <v>580</v>
      </c>
      <c r="H304" t="s">
        <v>85</v>
      </c>
      <c r="I304">
        <v>4</v>
      </c>
      <c r="J304" t="str">
        <f>HYPERLINK("Gene668-zp_tree_all.dnd", "Gene668-tree")</f>
        <v>Gene668-tree</v>
      </c>
      <c r="K304">
        <v>1</v>
      </c>
      <c r="L304">
        <v>3</v>
      </c>
      <c r="M304">
        <v>1</v>
      </c>
      <c r="N304">
        <v>3</v>
      </c>
      <c r="O304">
        <v>0.75</v>
      </c>
      <c r="P304" t="s">
        <v>65</v>
      </c>
      <c r="Q304" t="s">
        <v>86</v>
      </c>
      <c r="R304" t="s">
        <v>66</v>
      </c>
      <c r="S304" t="s">
        <v>66</v>
      </c>
      <c r="T304">
        <v>0</v>
      </c>
      <c r="U304">
        <v>0</v>
      </c>
      <c r="V304">
        <v>9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9</v>
      </c>
      <c r="AG304">
        <v>0</v>
      </c>
      <c r="AH304">
        <v>4</v>
      </c>
      <c r="AI304">
        <v>1</v>
      </c>
      <c r="AJ304">
        <v>84</v>
      </c>
      <c r="AK304">
        <v>11</v>
      </c>
      <c r="AL304">
        <v>6</v>
      </c>
      <c r="AM304">
        <v>0</v>
      </c>
      <c r="AN304" t="s">
        <v>874</v>
      </c>
      <c r="AO304" t="s">
        <v>68</v>
      </c>
      <c r="AP304">
        <v>0.93700000000000006</v>
      </c>
      <c r="AQ304" t="s">
        <v>69</v>
      </c>
      <c r="AR304">
        <v>90</v>
      </c>
      <c r="AS304">
        <v>11</v>
      </c>
      <c r="AT304">
        <v>2.8930000000000001E-2</v>
      </c>
      <c r="AU304">
        <v>-7.1599999999999997E-3</v>
      </c>
      <c r="AV304">
        <v>0.12964999999999999</v>
      </c>
      <c r="AW304">
        <v>-3.5119999999999998E-2</v>
      </c>
      <c r="AX304">
        <v>4.0899999999999999E-3</v>
      </c>
      <c r="AY304">
        <v>-8.4000000000000003E-4</v>
      </c>
      <c r="AZ304">
        <v>3.1539999999999999E-2</v>
      </c>
      <c r="BA304">
        <v>1</v>
      </c>
      <c r="BB304" t="s">
        <v>70</v>
      </c>
      <c r="BC304">
        <v>-0.50900000000000001</v>
      </c>
      <c r="BD304">
        <v>-0.70699999999999996</v>
      </c>
      <c r="BE304" t="s">
        <v>71</v>
      </c>
    </row>
    <row r="305" spans="1:57">
      <c r="A305">
        <v>669</v>
      </c>
      <c r="B305" t="s">
        <v>875</v>
      </c>
      <c r="D305" t="s">
        <v>60</v>
      </c>
      <c r="E305" t="s">
        <v>876</v>
      </c>
      <c r="F305" t="s">
        <v>818</v>
      </c>
      <c r="G305">
        <v>331</v>
      </c>
      <c r="H305" t="s">
        <v>85</v>
      </c>
      <c r="I305">
        <v>4</v>
      </c>
      <c r="J305" t="str">
        <f>HYPERLINK("Gene669-zp_tree_all.dnd", "Gene669-tree")</f>
        <v>Gene669-tree</v>
      </c>
      <c r="K305">
        <v>2</v>
      </c>
      <c r="L305">
        <v>2</v>
      </c>
      <c r="M305">
        <v>2</v>
      </c>
      <c r="N305">
        <v>2</v>
      </c>
      <c r="O305">
        <v>0.5</v>
      </c>
      <c r="P305" t="s">
        <v>124</v>
      </c>
      <c r="Q305" t="s">
        <v>124</v>
      </c>
      <c r="R305" t="s">
        <v>66</v>
      </c>
      <c r="S305" t="s">
        <v>66</v>
      </c>
      <c r="T305">
        <v>1</v>
      </c>
      <c r="U305">
        <v>2</v>
      </c>
      <c r="V305">
        <v>14</v>
      </c>
      <c r="W305">
        <v>0.125</v>
      </c>
      <c r="X305">
        <v>0</v>
      </c>
      <c r="Y305">
        <v>0</v>
      </c>
      <c r="Z305">
        <v>0</v>
      </c>
      <c r="AA305">
        <v>5</v>
      </c>
      <c r="AB305">
        <v>0</v>
      </c>
      <c r="AC305">
        <v>0</v>
      </c>
      <c r="AD305">
        <v>2</v>
      </c>
      <c r="AE305">
        <v>2</v>
      </c>
      <c r="AF305">
        <v>9</v>
      </c>
      <c r="AG305">
        <v>0.18182000000000001</v>
      </c>
      <c r="AH305">
        <v>4</v>
      </c>
      <c r="AI305">
        <v>1</v>
      </c>
      <c r="AJ305">
        <v>33</v>
      </c>
      <c r="AK305">
        <v>11</v>
      </c>
      <c r="AL305">
        <v>3</v>
      </c>
      <c r="AM305">
        <v>5</v>
      </c>
      <c r="AN305" t="s">
        <v>877</v>
      </c>
      <c r="AO305" t="s">
        <v>878</v>
      </c>
      <c r="AP305">
        <v>2.6080000000000001</v>
      </c>
      <c r="AQ305" t="s">
        <v>69</v>
      </c>
      <c r="AR305">
        <v>36</v>
      </c>
      <c r="AS305">
        <v>16</v>
      </c>
      <c r="AT305">
        <v>2.6519999999999998E-2</v>
      </c>
      <c r="AU305">
        <v>-6.0499999999999998E-3</v>
      </c>
      <c r="AV305">
        <v>8.3030000000000007E-2</v>
      </c>
      <c r="AW305">
        <v>-2.0490000000000001E-2</v>
      </c>
      <c r="AX305">
        <v>1.1650000000000001E-2</v>
      </c>
      <c r="AY305">
        <v>-2.64E-3</v>
      </c>
      <c r="AZ305">
        <v>0.14030999999999999</v>
      </c>
      <c r="BA305">
        <v>1</v>
      </c>
      <c r="BB305" t="s">
        <v>70</v>
      </c>
      <c r="BC305">
        <v>-0.153</v>
      </c>
      <c r="BD305">
        <v>-0.54300000000000004</v>
      </c>
      <c r="BE305" t="s">
        <v>71</v>
      </c>
    </row>
    <row r="306" spans="1:57">
      <c r="A306">
        <v>670</v>
      </c>
      <c r="B306" t="s">
        <v>879</v>
      </c>
      <c r="D306" t="s">
        <v>60</v>
      </c>
      <c r="E306" t="s">
        <v>880</v>
      </c>
      <c r="F306" t="s">
        <v>74</v>
      </c>
      <c r="G306">
        <v>104</v>
      </c>
      <c r="H306" t="s">
        <v>63</v>
      </c>
      <c r="I306">
        <v>5</v>
      </c>
      <c r="J306" t="str">
        <f>HYPERLINK("Gene670-zp_tree_all.dnd", "Gene670-tree")</f>
        <v>Gene670-tree</v>
      </c>
      <c r="K306">
        <v>5</v>
      </c>
      <c r="L306">
        <v>0</v>
      </c>
      <c r="M306">
        <v>5</v>
      </c>
      <c r="N306">
        <v>0</v>
      </c>
      <c r="O306">
        <v>0</v>
      </c>
      <c r="P306" t="s">
        <v>96</v>
      </c>
      <c r="Q306" t="s">
        <v>66</v>
      </c>
      <c r="R306" t="s">
        <v>66</v>
      </c>
      <c r="S306" t="s">
        <v>66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4</v>
      </c>
      <c r="AI306">
        <v>1</v>
      </c>
      <c r="AJ306">
        <v>8</v>
      </c>
      <c r="AK306">
        <v>0</v>
      </c>
      <c r="AL306">
        <v>6</v>
      </c>
      <c r="AM306">
        <v>0</v>
      </c>
      <c r="AN306" t="s">
        <v>68</v>
      </c>
      <c r="AO306" t="s">
        <v>68</v>
      </c>
      <c r="AP306">
        <v>0</v>
      </c>
      <c r="AQ306" t="s">
        <v>69</v>
      </c>
      <c r="AR306">
        <v>14</v>
      </c>
      <c r="AS306">
        <v>0</v>
      </c>
      <c r="AT306">
        <v>2.051E-2</v>
      </c>
      <c r="AU306">
        <v>-2.98E-3</v>
      </c>
      <c r="AV306">
        <v>9.7199999999999995E-2</v>
      </c>
      <c r="AW306">
        <v>-1.469E-2</v>
      </c>
      <c r="AX306">
        <v>0</v>
      </c>
      <c r="AY306">
        <v>0</v>
      </c>
      <c r="AZ306">
        <v>0</v>
      </c>
      <c r="BA306">
        <v>1</v>
      </c>
      <c r="BB306" t="s">
        <v>70</v>
      </c>
      <c r="BC306">
        <v>0.80400000000000005</v>
      </c>
      <c r="BD306">
        <v>-0.45200000000000001</v>
      </c>
      <c r="BE306" t="s">
        <v>71</v>
      </c>
    </row>
    <row r="307" spans="1:57">
      <c r="A307">
        <v>679</v>
      </c>
      <c r="B307" t="s">
        <v>881</v>
      </c>
      <c r="D307" t="s">
        <v>60</v>
      </c>
      <c r="E307" t="s">
        <v>882</v>
      </c>
      <c r="F307" t="s">
        <v>883</v>
      </c>
      <c r="G307">
        <v>96</v>
      </c>
      <c r="H307" t="s">
        <v>63</v>
      </c>
      <c r="I307">
        <v>5</v>
      </c>
      <c r="J307" t="str">
        <f>HYPERLINK("Gene679-zp_tree_all.dnd", "Gene679-tree")</f>
        <v>Gene679-tree</v>
      </c>
      <c r="K307">
        <v>5</v>
      </c>
      <c r="L307">
        <v>0</v>
      </c>
      <c r="M307">
        <v>4</v>
      </c>
      <c r="N307">
        <v>0</v>
      </c>
      <c r="O307">
        <v>0</v>
      </c>
      <c r="P307" t="s">
        <v>135</v>
      </c>
      <c r="Q307" t="s">
        <v>66</v>
      </c>
      <c r="R307" t="s">
        <v>66</v>
      </c>
      <c r="S307" t="s">
        <v>66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2</v>
      </c>
      <c r="AI307">
        <v>1</v>
      </c>
      <c r="AJ307">
        <v>2</v>
      </c>
      <c r="AK307">
        <v>0</v>
      </c>
      <c r="AL307">
        <v>6</v>
      </c>
      <c r="AM307">
        <v>0</v>
      </c>
      <c r="AN307" t="s">
        <v>68</v>
      </c>
      <c r="AO307" t="s">
        <v>68</v>
      </c>
      <c r="AP307">
        <v>0</v>
      </c>
      <c r="AQ307" t="s">
        <v>69</v>
      </c>
      <c r="AR307">
        <v>8</v>
      </c>
      <c r="AS307">
        <v>0</v>
      </c>
      <c r="AT307">
        <v>1.736E-2</v>
      </c>
      <c r="AU307">
        <v>-4.0899999999999999E-3</v>
      </c>
      <c r="AV307">
        <v>8.7599999999999997E-2</v>
      </c>
      <c r="AW307">
        <v>-2.104E-2</v>
      </c>
      <c r="AX307">
        <v>0</v>
      </c>
      <c r="AY307">
        <v>0</v>
      </c>
      <c r="AZ307">
        <v>0</v>
      </c>
      <c r="BA307">
        <v>1</v>
      </c>
      <c r="BB307" t="s">
        <v>70</v>
      </c>
      <c r="BC307">
        <v>1.028</v>
      </c>
      <c r="BD307">
        <v>1.028</v>
      </c>
      <c r="BE307" t="s">
        <v>71</v>
      </c>
    </row>
    <row r="308" spans="1:57">
      <c r="A308">
        <v>680</v>
      </c>
      <c r="B308" t="s">
        <v>884</v>
      </c>
      <c r="D308" t="s">
        <v>60</v>
      </c>
      <c r="E308" t="s">
        <v>885</v>
      </c>
      <c r="F308" t="s">
        <v>886</v>
      </c>
      <c r="G308">
        <v>485</v>
      </c>
      <c r="H308" t="s">
        <v>63</v>
      </c>
      <c r="I308">
        <v>5</v>
      </c>
      <c r="J308" t="str">
        <f>HYPERLINK("Gene680-zp_tree_all.dnd", "Gene680-tree")</f>
        <v>Gene680-tree</v>
      </c>
      <c r="K308">
        <v>3</v>
      </c>
      <c r="L308">
        <v>2</v>
      </c>
      <c r="M308">
        <v>3</v>
      </c>
      <c r="N308">
        <v>2</v>
      </c>
      <c r="O308">
        <v>0.4</v>
      </c>
      <c r="P308" t="s">
        <v>86</v>
      </c>
      <c r="Q308" t="s">
        <v>124</v>
      </c>
      <c r="R308" t="s">
        <v>66</v>
      </c>
      <c r="S308" t="s">
        <v>66</v>
      </c>
      <c r="T308">
        <v>0</v>
      </c>
      <c r="U308">
        <v>0</v>
      </c>
      <c r="V308">
        <v>3</v>
      </c>
      <c r="W308">
        <v>0</v>
      </c>
      <c r="X308">
        <v>0</v>
      </c>
      <c r="Y308">
        <v>0</v>
      </c>
      <c r="Z308">
        <v>0</v>
      </c>
      <c r="AA308">
        <v>2</v>
      </c>
      <c r="AB308">
        <v>0</v>
      </c>
      <c r="AC308">
        <v>0</v>
      </c>
      <c r="AD308">
        <v>0</v>
      </c>
      <c r="AE308">
        <v>0</v>
      </c>
      <c r="AF308">
        <v>3</v>
      </c>
      <c r="AG308">
        <v>0</v>
      </c>
      <c r="AH308">
        <v>5</v>
      </c>
      <c r="AI308">
        <v>2</v>
      </c>
      <c r="AJ308">
        <v>56</v>
      </c>
      <c r="AK308">
        <v>3</v>
      </c>
      <c r="AL308">
        <v>40</v>
      </c>
      <c r="AM308">
        <v>1</v>
      </c>
      <c r="AN308" t="s">
        <v>887</v>
      </c>
      <c r="AO308" t="s">
        <v>888</v>
      </c>
      <c r="AP308">
        <v>0.55800000000000005</v>
      </c>
      <c r="AQ308" t="s">
        <v>69</v>
      </c>
      <c r="AR308">
        <v>96</v>
      </c>
      <c r="AS308">
        <v>4</v>
      </c>
      <c r="AT308">
        <v>3.1620000000000002E-2</v>
      </c>
      <c r="AU308">
        <v>-4.3499999999999997E-3</v>
      </c>
      <c r="AV308">
        <v>0.13808999999999999</v>
      </c>
      <c r="AW308">
        <v>-2.0070000000000001E-2</v>
      </c>
      <c r="AX308">
        <v>1.64E-3</v>
      </c>
      <c r="AY308">
        <v>-3.4000000000000002E-4</v>
      </c>
      <c r="AZ308">
        <v>1.189E-2</v>
      </c>
      <c r="BA308">
        <v>1</v>
      </c>
      <c r="BB308" t="s">
        <v>70</v>
      </c>
      <c r="BC308">
        <v>0.40300000000000002</v>
      </c>
      <c r="BD308">
        <v>0.16</v>
      </c>
      <c r="BE308" t="s">
        <v>71</v>
      </c>
    </row>
    <row r="309" spans="1:57">
      <c r="A309">
        <v>681</v>
      </c>
      <c r="B309" t="s">
        <v>889</v>
      </c>
      <c r="D309" t="s">
        <v>60</v>
      </c>
      <c r="E309" t="s">
        <v>890</v>
      </c>
      <c r="F309" t="s">
        <v>891</v>
      </c>
      <c r="G309">
        <v>476</v>
      </c>
      <c r="H309" t="s">
        <v>63</v>
      </c>
      <c r="I309">
        <v>5</v>
      </c>
      <c r="J309" t="str">
        <f>HYPERLINK("Gene681-zp_tree_all.dnd", "Gene681-tree")</f>
        <v>Gene681-tree</v>
      </c>
      <c r="K309">
        <v>4</v>
      </c>
      <c r="L309">
        <v>1</v>
      </c>
      <c r="M309">
        <v>4</v>
      </c>
      <c r="N309">
        <v>1</v>
      </c>
      <c r="O309">
        <v>0.2</v>
      </c>
      <c r="P309" t="s">
        <v>64</v>
      </c>
      <c r="Q309" t="s">
        <v>65</v>
      </c>
      <c r="R309" t="s">
        <v>66</v>
      </c>
      <c r="S309" t="s">
        <v>66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5</v>
      </c>
      <c r="AI309">
        <v>2</v>
      </c>
      <c r="AJ309">
        <v>47</v>
      </c>
      <c r="AK309">
        <v>1</v>
      </c>
      <c r="AL309">
        <v>38</v>
      </c>
      <c r="AM309">
        <v>0</v>
      </c>
      <c r="AN309" t="s">
        <v>892</v>
      </c>
      <c r="AO309" t="s">
        <v>68</v>
      </c>
      <c r="AP309">
        <v>0.53400000000000003</v>
      </c>
      <c r="AQ309" t="s">
        <v>69</v>
      </c>
      <c r="AR309">
        <v>85</v>
      </c>
      <c r="AS309">
        <v>1</v>
      </c>
      <c r="AT309">
        <v>2.8709999999999999E-2</v>
      </c>
      <c r="AU309">
        <v>-4.3299999999999996E-3</v>
      </c>
      <c r="AV309">
        <v>0.13922000000000001</v>
      </c>
      <c r="AW309">
        <v>-2.2030000000000001E-2</v>
      </c>
      <c r="AX309">
        <v>3.6000000000000002E-4</v>
      </c>
      <c r="AY309">
        <v>-1.3999999999999999E-4</v>
      </c>
      <c r="AZ309">
        <v>2.6099999999999999E-3</v>
      </c>
      <c r="BA309">
        <v>1</v>
      </c>
      <c r="BB309" t="s">
        <v>70</v>
      </c>
      <c r="BC309">
        <v>0.221</v>
      </c>
      <c r="BD309">
        <v>0.221</v>
      </c>
      <c r="BE309" t="s">
        <v>71</v>
      </c>
    </row>
    <row r="310" spans="1:57">
      <c r="A310">
        <v>684</v>
      </c>
      <c r="B310" t="s">
        <v>893</v>
      </c>
      <c r="D310" t="s">
        <v>60</v>
      </c>
      <c r="E310" t="s">
        <v>894</v>
      </c>
      <c r="F310" t="s">
        <v>895</v>
      </c>
      <c r="G310">
        <v>303</v>
      </c>
      <c r="H310" t="s">
        <v>63</v>
      </c>
      <c r="I310">
        <v>5</v>
      </c>
      <c r="J310" t="str">
        <f>HYPERLINK("Gene684-zp_tree_all.dnd", "Gene684-tree")</f>
        <v>Gene684-tree</v>
      </c>
      <c r="K310">
        <v>4</v>
      </c>
      <c r="L310">
        <v>1</v>
      </c>
      <c r="M310">
        <v>4</v>
      </c>
      <c r="N310">
        <v>1</v>
      </c>
      <c r="O310">
        <v>0.2</v>
      </c>
      <c r="P310" t="s">
        <v>64</v>
      </c>
      <c r="Q310" t="s">
        <v>65</v>
      </c>
      <c r="R310" t="s">
        <v>66</v>
      </c>
      <c r="S310" t="s">
        <v>66</v>
      </c>
      <c r="T310">
        <v>0</v>
      </c>
      <c r="U310">
        <v>0</v>
      </c>
      <c r="V310">
        <v>3</v>
      </c>
      <c r="W310">
        <v>0</v>
      </c>
      <c r="X310">
        <v>0</v>
      </c>
      <c r="Y310">
        <v>0</v>
      </c>
      <c r="Z310">
        <v>0</v>
      </c>
      <c r="AA310">
        <v>2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5</v>
      </c>
      <c r="AI310">
        <v>2</v>
      </c>
      <c r="AJ310">
        <v>58</v>
      </c>
      <c r="AK310">
        <v>1</v>
      </c>
      <c r="AL310">
        <v>13</v>
      </c>
      <c r="AM310">
        <v>3</v>
      </c>
      <c r="AN310" t="s">
        <v>896</v>
      </c>
      <c r="AO310" t="s">
        <v>897</v>
      </c>
      <c r="AP310">
        <v>0.998</v>
      </c>
      <c r="AQ310" t="s">
        <v>69</v>
      </c>
      <c r="AR310">
        <v>71</v>
      </c>
      <c r="AS310">
        <v>4</v>
      </c>
      <c r="AT310">
        <v>3.2120000000000003E-2</v>
      </c>
      <c r="AU310">
        <v>-2.8600000000000001E-3</v>
      </c>
      <c r="AV310">
        <v>0.13525999999999999</v>
      </c>
      <c r="AW310">
        <v>-1.217E-2</v>
      </c>
      <c r="AX310">
        <v>3.49E-3</v>
      </c>
      <c r="AY310">
        <v>-6.6E-4</v>
      </c>
      <c r="AZ310">
        <v>2.5760000000000002E-2</v>
      </c>
      <c r="BA310">
        <v>1</v>
      </c>
      <c r="BB310" t="s">
        <v>70</v>
      </c>
      <c r="BC310">
        <v>0.36899999999999999</v>
      </c>
      <c r="BD310">
        <v>-0.22800000000000001</v>
      </c>
      <c r="BE310" t="s">
        <v>71</v>
      </c>
    </row>
    <row r="311" spans="1:57">
      <c r="A311">
        <v>705</v>
      </c>
      <c r="B311" t="s">
        <v>904</v>
      </c>
      <c r="D311" t="s">
        <v>60</v>
      </c>
      <c r="E311" t="s">
        <v>905</v>
      </c>
      <c r="F311" t="s">
        <v>906</v>
      </c>
      <c r="G311">
        <v>189</v>
      </c>
      <c r="H311" t="s">
        <v>63</v>
      </c>
      <c r="I311">
        <v>5</v>
      </c>
      <c r="J311" t="str">
        <f>HYPERLINK("Gene705-zp_tree_all.dnd", "Gene705-tree")</f>
        <v>Gene705-tree</v>
      </c>
      <c r="K311">
        <v>5</v>
      </c>
      <c r="L311">
        <v>0</v>
      </c>
      <c r="M311">
        <v>5</v>
      </c>
      <c r="N311">
        <v>0</v>
      </c>
      <c r="O311">
        <v>0</v>
      </c>
      <c r="P311" t="s">
        <v>96</v>
      </c>
      <c r="Q311" t="s">
        <v>66</v>
      </c>
      <c r="R311" t="s">
        <v>66</v>
      </c>
      <c r="S311" t="s">
        <v>66</v>
      </c>
      <c r="T311">
        <v>0</v>
      </c>
      <c r="U311">
        <v>0</v>
      </c>
      <c r="V311">
        <v>2</v>
      </c>
      <c r="W311">
        <v>0</v>
      </c>
      <c r="X311">
        <v>0</v>
      </c>
      <c r="Y311">
        <v>0</v>
      </c>
      <c r="Z311">
        <v>0</v>
      </c>
      <c r="AA311">
        <v>2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5</v>
      </c>
      <c r="AI311">
        <v>2</v>
      </c>
      <c r="AJ311">
        <v>19</v>
      </c>
      <c r="AK311">
        <v>0</v>
      </c>
      <c r="AL311">
        <v>19</v>
      </c>
      <c r="AM311">
        <v>2</v>
      </c>
      <c r="AN311" t="s">
        <v>68</v>
      </c>
      <c r="AO311" t="s">
        <v>907</v>
      </c>
      <c r="AP311">
        <v>0.85799999999999998</v>
      </c>
      <c r="AQ311" t="s">
        <v>69</v>
      </c>
      <c r="AR311">
        <v>38</v>
      </c>
      <c r="AS311">
        <v>2</v>
      </c>
      <c r="AT311">
        <v>3.3860000000000001E-2</v>
      </c>
      <c r="AU311">
        <v>-5.8599999999999998E-3</v>
      </c>
      <c r="AV311">
        <v>0.15794</v>
      </c>
      <c r="AW311">
        <v>-2.7709999999999999E-2</v>
      </c>
      <c r="AX311">
        <v>2.7599999999999999E-3</v>
      </c>
      <c r="AY311">
        <v>-6.6E-4</v>
      </c>
      <c r="AZ311">
        <v>1.745E-2</v>
      </c>
      <c r="BA311">
        <v>1</v>
      </c>
      <c r="BB311" t="s">
        <v>70</v>
      </c>
      <c r="BC311">
        <v>1.0720000000000001</v>
      </c>
      <c r="BD311">
        <v>0.53600000000000003</v>
      </c>
      <c r="BE311" t="s">
        <v>71</v>
      </c>
    </row>
    <row r="312" spans="1:57">
      <c r="A312">
        <v>712</v>
      </c>
      <c r="B312" t="s">
        <v>908</v>
      </c>
      <c r="D312" t="s">
        <v>60</v>
      </c>
      <c r="E312" t="s">
        <v>909</v>
      </c>
      <c r="F312" t="s">
        <v>657</v>
      </c>
      <c r="G312">
        <v>309</v>
      </c>
      <c r="H312" t="s">
        <v>85</v>
      </c>
      <c r="I312">
        <v>4</v>
      </c>
      <c r="J312" t="str">
        <f>HYPERLINK("Gene712-zp_tree_all.dnd", "Gene712-tree")</f>
        <v>Gene712-tree</v>
      </c>
      <c r="K312">
        <v>3</v>
      </c>
      <c r="L312">
        <v>1</v>
      </c>
      <c r="M312">
        <v>3</v>
      </c>
      <c r="N312">
        <v>1</v>
      </c>
      <c r="O312">
        <v>0.25</v>
      </c>
      <c r="P312" t="s">
        <v>86</v>
      </c>
      <c r="Q312" t="s">
        <v>65</v>
      </c>
      <c r="R312" t="s">
        <v>66</v>
      </c>
      <c r="S312" t="s">
        <v>66</v>
      </c>
      <c r="T312">
        <v>0</v>
      </c>
      <c r="U312">
        <v>0</v>
      </c>
      <c r="V312">
        <v>6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6</v>
      </c>
      <c r="AG312">
        <v>0</v>
      </c>
      <c r="AH312">
        <v>4</v>
      </c>
      <c r="AI312">
        <v>1</v>
      </c>
      <c r="AJ312">
        <v>32</v>
      </c>
      <c r="AK312">
        <v>6</v>
      </c>
      <c r="AL312">
        <v>6</v>
      </c>
      <c r="AM312">
        <v>0</v>
      </c>
      <c r="AN312" t="s">
        <v>910</v>
      </c>
      <c r="AO312" t="s">
        <v>68</v>
      </c>
      <c r="AP312">
        <v>0.40400000000000003</v>
      </c>
      <c r="AQ312" t="s">
        <v>69</v>
      </c>
      <c r="AR312">
        <v>38</v>
      </c>
      <c r="AS312">
        <v>6</v>
      </c>
      <c r="AT312">
        <v>2.4889999999999999E-2</v>
      </c>
      <c r="AU312">
        <v>-7.0400000000000003E-3</v>
      </c>
      <c r="AV312">
        <v>9.5979999999999996E-2</v>
      </c>
      <c r="AW312">
        <v>-2.6030000000000001E-2</v>
      </c>
      <c r="AX312">
        <v>4.79E-3</v>
      </c>
      <c r="AY312">
        <v>-1.97E-3</v>
      </c>
      <c r="AZ312">
        <v>4.9950000000000001E-2</v>
      </c>
      <c r="BA312">
        <v>1</v>
      </c>
      <c r="BB312" t="s">
        <v>70</v>
      </c>
      <c r="BC312">
        <v>-0.433</v>
      </c>
      <c r="BD312">
        <v>-0.433</v>
      </c>
      <c r="BE312" t="s">
        <v>71</v>
      </c>
    </row>
    <row r="313" spans="1:57">
      <c r="A313">
        <v>721</v>
      </c>
      <c r="B313" t="s">
        <v>911</v>
      </c>
      <c r="D313" t="s">
        <v>60</v>
      </c>
      <c r="E313" t="s">
        <v>912</v>
      </c>
      <c r="F313" t="s">
        <v>913</v>
      </c>
      <c r="G313">
        <v>217</v>
      </c>
      <c r="H313" t="s">
        <v>63</v>
      </c>
      <c r="I313">
        <v>5</v>
      </c>
      <c r="J313" t="str">
        <f>HYPERLINK("Gene721-zp_tree_all.dnd", "Gene721-tree")</f>
        <v>Gene721-tree</v>
      </c>
      <c r="K313">
        <v>1</v>
      </c>
      <c r="L313">
        <v>4</v>
      </c>
      <c r="M313">
        <v>1</v>
      </c>
      <c r="N313">
        <v>4</v>
      </c>
      <c r="O313">
        <v>0.8</v>
      </c>
      <c r="P313" t="s">
        <v>65</v>
      </c>
      <c r="Q313" t="s">
        <v>64</v>
      </c>
      <c r="R313" t="s">
        <v>66</v>
      </c>
      <c r="S313" t="s">
        <v>66</v>
      </c>
      <c r="T313">
        <v>1</v>
      </c>
      <c r="U313">
        <v>2</v>
      </c>
      <c r="V313">
        <v>9</v>
      </c>
      <c r="W313">
        <v>0.18182000000000001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2</v>
      </c>
      <c r="AE313">
        <v>2</v>
      </c>
      <c r="AF313">
        <v>9</v>
      </c>
      <c r="AG313">
        <v>0.18182000000000001</v>
      </c>
      <c r="AH313">
        <v>5</v>
      </c>
      <c r="AI313">
        <v>2</v>
      </c>
      <c r="AJ313">
        <v>32</v>
      </c>
      <c r="AK313">
        <v>10</v>
      </c>
      <c r="AL313">
        <v>21</v>
      </c>
      <c r="AM313">
        <v>1</v>
      </c>
      <c r="AN313" t="s">
        <v>914</v>
      </c>
      <c r="AO313" t="s">
        <v>915</v>
      </c>
      <c r="AP313">
        <v>2.339</v>
      </c>
      <c r="AQ313" t="s">
        <v>239</v>
      </c>
      <c r="AR313">
        <v>53</v>
      </c>
      <c r="AS313">
        <v>11</v>
      </c>
      <c r="AT313">
        <v>4.5370000000000001E-2</v>
      </c>
      <c r="AU313">
        <v>-4.8399999999999997E-3</v>
      </c>
      <c r="AV313">
        <v>0.19839000000000001</v>
      </c>
      <c r="AW313">
        <v>-2.4709999999999999E-2</v>
      </c>
      <c r="AX313">
        <v>9.2099999999999994E-3</v>
      </c>
      <c r="AY313">
        <v>-9.5E-4</v>
      </c>
      <c r="AZ313">
        <v>4.641E-2</v>
      </c>
      <c r="BA313">
        <v>1</v>
      </c>
      <c r="BB313" t="s">
        <v>70</v>
      </c>
      <c r="BC313">
        <v>-9.1999999999999998E-2</v>
      </c>
      <c r="BD313">
        <v>-0.193</v>
      </c>
      <c r="BE313" t="s">
        <v>71</v>
      </c>
    </row>
    <row r="314" spans="1:57">
      <c r="A314">
        <v>724</v>
      </c>
      <c r="B314" t="s">
        <v>916</v>
      </c>
      <c r="D314" t="s">
        <v>60</v>
      </c>
      <c r="E314" t="s">
        <v>917</v>
      </c>
      <c r="F314" t="s">
        <v>818</v>
      </c>
      <c r="G314">
        <v>502</v>
      </c>
      <c r="H314" t="s">
        <v>63</v>
      </c>
      <c r="I314">
        <v>5</v>
      </c>
      <c r="J314" t="str">
        <f>HYPERLINK("Gene724-zp_tree_all.dnd", "Gene724-tree")</f>
        <v>Gene724-tree</v>
      </c>
      <c r="K314">
        <v>0</v>
      </c>
      <c r="L314">
        <v>5</v>
      </c>
      <c r="M314">
        <v>0</v>
      </c>
      <c r="N314">
        <v>5</v>
      </c>
      <c r="O314">
        <v>1</v>
      </c>
      <c r="P314" t="s">
        <v>66</v>
      </c>
      <c r="Q314" t="s">
        <v>96</v>
      </c>
      <c r="R314" t="s">
        <v>66</v>
      </c>
      <c r="S314" t="s">
        <v>66</v>
      </c>
      <c r="T314">
        <v>0</v>
      </c>
      <c r="U314">
        <v>0</v>
      </c>
      <c r="V314">
        <v>22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22</v>
      </c>
      <c r="AG314">
        <v>0</v>
      </c>
      <c r="AH314">
        <v>4</v>
      </c>
      <c r="AI314">
        <v>2</v>
      </c>
      <c r="AJ314">
        <v>29</v>
      </c>
      <c r="AK314">
        <v>10</v>
      </c>
      <c r="AL314">
        <v>37</v>
      </c>
      <c r="AM314">
        <v>12</v>
      </c>
      <c r="AN314" t="s">
        <v>918</v>
      </c>
      <c r="AO314" t="s">
        <v>919</v>
      </c>
      <c r="AP314">
        <v>0.13100000000000001</v>
      </c>
      <c r="AQ314" t="s">
        <v>69</v>
      </c>
      <c r="AR314">
        <v>66</v>
      </c>
      <c r="AS314">
        <v>22</v>
      </c>
      <c r="AT314">
        <v>2.9420000000000002E-2</v>
      </c>
      <c r="AU314">
        <v>-4.8500000000000001E-3</v>
      </c>
      <c r="AV314">
        <v>0.11252</v>
      </c>
      <c r="AW314">
        <v>-1.915E-2</v>
      </c>
      <c r="AX314">
        <v>9.5499999999999995E-3</v>
      </c>
      <c r="AY314">
        <v>-1.6100000000000001E-3</v>
      </c>
      <c r="AZ314">
        <v>8.4860000000000005E-2</v>
      </c>
      <c r="BA314">
        <v>1</v>
      </c>
      <c r="BB314" t="s">
        <v>70</v>
      </c>
      <c r="BC314">
        <v>0.55500000000000005</v>
      </c>
      <c r="BD314">
        <v>0.39</v>
      </c>
      <c r="BE314" t="s">
        <v>71</v>
      </c>
    </row>
    <row r="315" spans="1:57">
      <c r="A315">
        <v>725</v>
      </c>
      <c r="B315" t="s">
        <v>920</v>
      </c>
      <c r="D315" t="s">
        <v>60</v>
      </c>
      <c r="E315" t="s">
        <v>921</v>
      </c>
      <c r="F315" t="s">
        <v>922</v>
      </c>
      <c r="G315">
        <v>318</v>
      </c>
      <c r="H315" t="s">
        <v>85</v>
      </c>
      <c r="I315">
        <v>4</v>
      </c>
      <c r="J315" t="str">
        <f>HYPERLINK("Gene725-zp_tree_all.dnd", "Gene725-tree")</f>
        <v>Gene725-tree</v>
      </c>
      <c r="K315">
        <v>0</v>
      </c>
      <c r="L315">
        <v>4</v>
      </c>
      <c r="M315">
        <v>0</v>
      </c>
      <c r="N315">
        <v>4</v>
      </c>
      <c r="O315">
        <v>1</v>
      </c>
      <c r="P315" t="s">
        <v>66</v>
      </c>
      <c r="Q315" t="s">
        <v>64</v>
      </c>
      <c r="R315" t="s">
        <v>66</v>
      </c>
      <c r="S315" t="s">
        <v>66</v>
      </c>
      <c r="T315">
        <v>0</v>
      </c>
      <c r="U315">
        <v>0</v>
      </c>
      <c r="V315">
        <v>6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6</v>
      </c>
      <c r="AG315">
        <v>0</v>
      </c>
      <c r="AH315">
        <v>4</v>
      </c>
      <c r="AI315">
        <v>1</v>
      </c>
      <c r="AJ315">
        <v>45</v>
      </c>
      <c r="AK315">
        <v>5</v>
      </c>
      <c r="AL315">
        <v>5</v>
      </c>
      <c r="AM315">
        <v>1</v>
      </c>
      <c r="AN315" t="s">
        <v>923</v>
      </c>
      <c r="AO315" t="s">
        <v>924</v>
      </c>
      <c r="AP315">
        <v>0.98099999999999998</v>
      </c>
      <c r="AQ315" t="s">
        <v>69</v>
      </c>
      <c r="AR315">
        <v>50</v>
      </c>
      <c r="AS315">
        <v>6</v>
      </c>
      <c r="AT315">
        <v>3.022E-2</v>
      </c>
      <c r="AU315">
        <v>-7.3600000000000002E-3</v>
      </c>
      <c r="AV315">
        <v>0.13521</v>
      </c>
      <c r="AW315">
        <v>-3.8730000000000001E-2</v>
      </c>
      <c r="AX315">
        <v>4.3099999999999996E-3</v>
      </c>
      <c r="AY315">
        <v>-3.8000000000000002E-4</v>
      </c>
      <c r="AZ315">
        <v>3.184E-2</v>
      </c>
      <c r="BA315">
        <v>1</v>
      </c>
      <c r="BB315" t="s">
        <v>70</v>
      </c>
      <c r="BC315">
        <v>-0.40500000000000003</v>
      </c>
      <c r="BD315">
        <v>-0.57899999999999996</v>
      </c>
      <c r="BE315" t="s">
        <v>71</v>
      </c>
    </row>
    <row r="316" spans="1:57">
      <c r="A316">
        <v>726</v>
      </c>
      <c r="B316" t="s">
        <v>925</v>
      </c>
      <c r="D316" t="s">
        <v>60</v>
      </c>
      <c r="E316" t="s">
        <v>926</v>
      </c>
      <c r="F316" t="s">
        <v>927</v>
      </c>
      <c r="G316">
        <v>295</v>
      </c>
      <c r="H316" t="s">
        <v>85</v>
      </c>
      <c r="I316">
        <v>4</v>
      </c>
      <c r="J316" t="str">
        <f>HYPERLINK("Gene726-zp_tree_all.dnd", "Gene726-tree")</f>
        <v>Gene726-tree</v>
      </c>
      <c r="K316">
        <v>3</v>
      </c>
      <c r="L316">
        <v>1</v>
      </c>
      <c r="M316">
        <v>3</v>
      </c>
      <c r="N316">
        <v>1</v>
      </c>
      <c r="O316">
        <v>0.25</v>
      </c>
      <c r="P316" t="s">
        <v>86</v>
      </c>
      <c r="Q316" t="s">
        <v>65</v>
      </c>
      <c r="R316" t="s">
        <v>66</v>
      </c>
      <c r="S316" t="s">
        <v>66</v>
      </c>
      <c r="T316">
        <v>0</v>
      </c>
      <c r="U316">
        <v>0</v>
      </c>
      <c r="V316">
        <v>2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2</v>
      </c>
      <c r="AG316">
        <v>0</v>
      </c>
      <c r="AH316">
        <v>4</v>
      </c>
      <c r="AI316">
        <v>1</v>
      </c>
      <c r="AJ316">
        <v>53</v>
      </c>
      <c r="AK316">
        <v>2</v>
      </c>
      <c r="AL316">
        <v>5</v>
      </c>
      <c r="AM316">
        <v>0</v>
      </c>
      <c r="AN316" t="s">
        <v>928</v>
      </c>
      <c r="AO316" t="s">
        <v>68</v>
      </c>
      <c r="AP316">
        <v>0.48899999999999999</v>
      </c>
      <c r="AQ316" t="s">
        <v>69</v>
      </c>
      <c r="AR316">
        <v>58</v>
      </c>
      <c r="AS316">
        <v>2</v>
      </c>
      <c r="AT316">
        <v>3.3329999999999999E-2</v>
      </c>
      <c r="AU316">
        <v>-6.9499999999999996E-3</v>
      </c>
      <c r="AV316">
        <v>0.14924000000000001</v>
      </c>
      <c r="AW316">
        <v>-3.2329999999999998E-2</v>
      </c>
      <c r="AX316">
        <v>1.5E-3</v>
      </c>
      <c r="AY316">
        <v>-6.0999999999999997E-4</v>
      </c>
      <c r="AZ316">
        <v>1.004E-2</v>
      </c>
      <c r="BA316">
        <v>1</v>
      </c>
      <c r="BB316" t="s">
        <v>70</v>
      </c>
      <c r="BC316">
        <v>-0.35699999999999998</v>
      </c>
      <c r="BD316">
        <v>-0.52700000000000002</v>
      </c>
      <c r="BE316" t="s">
        <v>71</v>
      </c>
    </row>
    <row r="317" spans="1:57">
      <c r="A317">
        <v>731</v>
      </c>
      <c r="B317" t="s">
        <v>929</v>
      </c>
      <c r="D317" t="s">
        <v>60</v>
      </c>
      <c r="E317" t="s">
        <v>930</v>
      </c>
      <c r="F317" t="s">
        <v>74</v>
      </c>
      <c r="G317">
        <v>55</v>
      </c>
      <c r="H317" t="s">
        <v>63</v>
      </c>
      <c r="I317">
        <v>5</v>
      </c>
      <c r="J317" t="str">
        <f>HYPERLINK("Gene731-zp_tree_all.dnd", "Gene731-tree")</f>
        <v>Gene731-tree</v>
      </c>
      <c r="K317">
        <v>2</v>
      </c>
      <c r="L317">
        <v>3</v>
      </c>
      <c r="M317">
        <v>2</v>
      </c>
      <c r="N317">
        <v>2</v>
      </c>
      <c r="O317">
        <v>0.5</v>
      </c>
      <c r="P317" t="s">
        <v>124</v>
      </c>
      <c r="Q317" t="s">
        <v>185</v>
      </c>
      <c r="R317">
        <v>0.30599999999999999</v>
      </c>
      <c r="S317" t="s">
        <v>69</v>
      </c>
      <c r="T317">
        <v>0</v>
      </c>
      <c r="U317">
        <v>0</v>
      </c>
      <c r="V317">
        <v>3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2</v>
      </c>
      <c r="AG317">
        <v>0</v>
      </c>
      <c r="AH317">
        <v>4</v>
      </c>
      <c r="AI317">
        <v>1</v>
      </c>
      <c r="AJ317">
        <v>8</v>
      </c>
      <c r="AK317">
        <v>2</v>
      </c>
      <c r="AL317">
        <v>1</v>
      </c>
      <c r="AM317">
        <v>1</v>
      </c>
      <c r="AN317" t="s">
        <v>931</v>
      </c>
      <c r="AO317" t="s">
        <v>932</v>
      </c>
      <c r="AP317">
        <v>5.4669999999999996</v>
      </c>
      <c r="AQ317" t="s">
        <v>69</v>
      </c>
      <c r="AR317">
        <v>9</v>
      </c>
      <c r="AS317">
        <v>3</v>
      </c>
      <c r="AT317">
        <v>3.909E-2</v>
      </c>
      <c r="AU317">
        <v>-3.46E-3</v>
      </c>
      <c r="AV317">
        <v>0.14260999999999999</v>
      </c>
      <c r="AW317">
        <v>-1.278E-2</v>
      </c>
      <c r="AX317">
        <v>1.338E-2</v>
      </c>
      <c r="AY317">
        <v>-2.47E-3</v>
      </c>
      <c r="AZ317">
        <v>9.3810000000000004E-2</v>
      </c>
      <c r="BA317">
        <v>1</v>
      </c>
      <c r="BB317" t="s">
        <v>70</v>
      </c>
      <c r="BC317">
        <v>0.05</v>
      </c>
      <c r="BD317">
        <v>0.05</v>
      </c>
      <c r="BE317" t="s">
        <v>71</v>
      </c>
    </row>
    <row r="318" spans="1:57">
      <c r="A318">
        <v>739</v>
      </c>
      <c r="B318" t="s">
        <v>933</v>
      </c>
      <c r="D318" t="s">
        <v>60</v>
      </c>
      <c r="E318" t="s">
        <v>934</v>
      </c>
      <c r="F318" t="s">
        <v>935</v>
      </c>
      <c r="G318">
        <v>254</v>
      </c>
      <c r="H318" t="s">
        <v>63</v>
      </c>
      <c r="I318">
        <v>5</v>
      </c>
      <c r="J318" t="str">
        <f>HYPERLINK("Gene739-zp_tree_all.dnd", "Gene739-tree")</f>
        <v>Gene739-tree</v>
      </c>
      <c r="K318">
        <v>1</v>
      </c>
      <c r="L318">
        <v>4</v>
      </c>
      <c r="M318">
        <v>1</v>
      </c>
      <c r="N318">
        <v>3</v>
      </c>
      <c r="O318">
        <v>0.75</v>
      </c>
      <c r="P318" t="s">
        <v>65</v>
      </c>
      <c r="Q318" t="s">
        <v>112</v>
      </c>
      <c r="R318">
        <v>5</v>
      </c>
      <c r="S318" t="s">
        <v>239</v>
      </c>
      <c r="T318">
        <v>0</v>
      </c>
      <c r="U318">
        <v>0</v>
      </c>
      <c r="V318">
        <v>8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8</v>
      </c>
      <c r="AG318">
        <v>0</v>
      </c>
      <c r="AH318">
        <v>4</v>
      </c>
      <c r="AI318">
        <v>1</v>
      </c>
      <c r="AJ318">
        <v>31</v>
      </c>
      <c r="AK318">
        <v>7</v>
      </c>
      <c r="AL318">
        <v>4</v>
      </c>
      <c r="AM318">
        <v>1</v>
      </c>
      <c r="AN318" t="s">
        <v>936</v>
      </c>
      <c r="AO318" t="s">
        <v>937</v>
      </c>
      <c r="AP318">
        <v>0.32200000000000001</v>
      </c>
      <c r="AQ318" t="s">
        <v>69</v>
      </c>
      <c r="AR318">
        <v>35</v>
      </c>
      <c r="AS318">
        <v>8</v>
      </c>
      <c r="AT318">
        <v>2.843E-2</v>
      </c>
      <c r="AU318">
        <v>-3.7699999999999999E-3</v>
      </c>
      <c r="AV318">
        <v>0.11309</v>
      </c>
      <c r="AW318">
        <v>-1.7559999999999999E-2</v>
      </c>
      <c r="AX318">
        <v>7.0600000000000003E-3</v>
      </c>
      <c r="AY318">
        <v>-9.3000000000000005E-4</v>
      </c>
      <c r="AZ318">
        <v>6.2390000000000001E-2</v>
      </c>
      <c r="BA318">
        <v>1</v>
      </c>
      <c r="BB318" t="s">
        <v>70</v>
      </c>
      <c r="BC318">
        <v>0.58099999999999996</v>
      </c>
      <c r="BD318">
        <v>0.42799999999999999</v>
      </c>
      <c r="BE318" t="s">
        <v>71</v>
      </c>
    </row>
    <row r="319" spans="1:57">
      <c r="A319">
        <v>751</v>
      </c>
      <c r="B319" t="s">
        <v>938</v>
      </c>
      <c r="D319" t="s">
        <v>60</v>
      </c>
      <c r="E319" t="s">
        <v>939</v>
      </c>
      <c r="F319" t="s">
        <v>940</v>
      </c>
      <c r="G319">
        <v>140</v>
      </c>
      <c r="H319" t="s">
        <v>63</v>
      </c>
      <c r="I319">
        <v>5</v>
      </c>
      <c r="J319" t="str">
        <f>HYPERLINK("Gene751-zp_tree_all.dnd", "Gene751-tree")</f>
        <v>Gene751-tree</v>
      </c>
      <c r="K319">
        <v>4</v>
      </c>
      <c r="L319">
        <v>1</v>
      </c>
      <c r="M319">
        <v>3</v>
      </c>
      <c r="N319">
        <v>1</v>
      </c>
      <c r="O319">
        <v>0.25</v>
      </c>
      <c r="P319" t="s">
        <v>112</v>
      </c>
      <c r="Q319" t="s">
        <v>65</v>
      </c>
      <c r="R319" t="s">
        <v>66</v>
      </c>
      <c r="S319" t="s">
        <v>66</v>
      </c>
      <c r="T319">
        <v>0</v>
      </c>
      <c r="U319">
        <v>0</v>
      </c>
      <c r="V319">
        <v>2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4</v>
      </c>
      <c r="AI319">
        <v>1</v>
      </c>
      <c r="AJ319">
        <v>7</v>
      </c>
      <c r="AK319">
        <v>2</v>
      </c>
      <c r="AL319">
        <v>5</v>
      </c>
      <c r="AM319">
        <v>1</v>
      </c>
      <c r="AN319" t="s">
        <v>941</v>
      </c>
      <c r="AO319" t="s">
        <v>942</v>
      </c>
      <c r="AP319">
        <v>0.186</v>
      </c>
      <c r="AQ319" t="s">
        <v>69</v>
      </c>
      <c r="AR319">
        <v>12</v>
      </c>
      <c r="AS319">
        <v>3</v>
      </c>
      <c r="AT319">
        <v>2.0240000000000001E-2</v>
      </c>
      <c r="AU319">
        <v>-2.7899999999999999E-3</v>
      </c>
      <c r="AV319">
        <v>8.2559999999999995E-2</v>
      </c>
      <c r="AW319">
        <v>-1.362E-2</v>
      </c>
      <c r="AX319">
        <v>5.0499999999999998E-3</v>
      </c>
      <c r="AY319">
        <v>-1.3699999999999999E-3</v>
      </c>
      <c r="AZ319">
        <v>6.1129999999999997E-2</v>
      </c>
      <c r="BA319">
        <v>1</v>
      </c>
      <c r="BB319" t="s">
        <v>70</v>
      </c>
      <c r="BC319">
        <v>0.40600000000000003</v>
      </c>
      <c r="BD319">
        <v>0.40600000000000003</v>
      </c>
      <c r="BE319" t="s">
        <v>71</v>
      </c>
    </row>
    <row r="320" spans="1:57">
      <c r="A320">
        <v>768</v>
      </c>
      <c r="B320" t="s">
        <v>948</v>
      </c>
      <c r="D320" t="s">
        <v>60</v>
      </c>
      <c r="E320" t="s">
        <v>949</v>
      </c>
      <c r="F320" t="s">
        <v>950</v>
      </c>
      <c r="G320">
        <v>478</v>
      </c>
      <c r="H320" t="s">
        <v>63</v>
      </c>
      <c r="I320">
        <v>5</v>
      </c>
      <c r="J320" t="str">
        <f>HYPERLINK("Gene768-zp_tree_all.dnd", "Gene768-tree")</f>
        <v>Gene768-tree</v>
      </c>
      <c r="K320">
        <v>3</v>
      </c>
      <c r="L320">
        <v>2</v>
      </c>
      <c r="M320">
        <v>3</v>
      </c>
      <c r="N320">
        <v>2</v>
      </c>
      <c r="O320">
        <v>0.4</v>
      </c>
      <c r="P320" t="s">
        <v>86</v>
      </c>
      <c r="Q320" t="s">
        <v>124</v>
      </c>
      <c r="R320" t="s">
        <v>66</v>
      </c>
      <c r="S320" t="s">
        <v>66</v>
      </c>
      <c r="T320">
        <v>0</v>
      </c>
      <c r="U320">
        <v>0</v>
      </c>
      <c r="V320">
        <v>11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11</v>
      </c>
      <c r="AG320">
        <v>0</v>
      </c>
      <c r="AH320">
        <v>5</v>
      </c>
      <c r="AI320">
        <v>1</v>
      </c>
      <c r="AJ320">
        <v>53</v>
      </c>
      <c r="AK320">
        <v>8</v>
      </c>
      <c r="AL320">
        <v>30</v>
      </c>
      <c r="AM320">
        <v>4</v>
      </c>
      <c r="AN320" t="s">
        <v>951</v>
      </c>
      <c r="AO320" t="s">
        <v>952</v>
      </c>
      <c r="AP320">
        <v>0.17399999999999999</v>
      </c>
      <c r="AQ320" t="s">
        <v>69</v>
      </c>
      <c r="AR320">
        <v>83</v>
      </c>
      <c r="AS320">
        <v>12</v>
      </c>
      <c r="AT320">
        <v>3.0810000000000001E-2</v>
      </c>
      <c r="AU320">
        <v>-4.8700000000000002E-3</v>
      </c>
      <c r="AV320">
        <v>0.12009</v>
      </c>
      <c r="AW320">
        <v>-1.8890000000000001E-2</v>
      </c>
      <c r="AX320">
        <v>5.2300000000000003E-3</v>
      </c>
      <c r="AY320">
        <v>-1.08E-3</v>
      </c>
      <c r="AZ320">
        <v>4.3580000000000001E-2</v>
      </c>
      <c r="BA320">
        <v>1</v>
      </c>
      <c r="BB320" t="s">
        <v>70</v>
      </c>
      <c r="BC320">
        <v>5.2999999999999999E-2</v>
      </c>
      <c r="BD320">
        <v>-0.2</v>
      </c>
      <c r="BE320" t="s">
        <v>71</v>
      </c>
    </row>
    <row r="321" spans="1:57">
      <c r="A321">
        <v>772</v>
      </c>
      <c r="B321" t="s">
        <v>953</v>
      </c>
      <c r="D321" t="s">
        <v>60</v>
      </c>
      <c r="E321" t="s">
        <v>954</v>
      </c>
      <c r="F321" t="s">
        <v>955</v>
      </c>
      <c r="G321">
        <v>433</v>
      </c>
      <c r="H321" t="s">
        <v>63</v>
      </c>
      <c r="I321">
        <v>5</v>
      </c>
      <c r="J321" t="str">
        <f>HYPERLINK("Gene772-zp_tree_all.dnd", "Gene772-tree")</f>
        <v>Gene772-tree</v>
      </c>
      <c r="K321">
        <v>3</v>
      </c>
      <c r="L321">
        <v>2</v>
      </c>
      <c r="M321">
        <v>3</v>
      </c>
      <c r="N321">
        <v>2</v>
      </c>
      <c r="O321">
        <v>0.4</v>
      </c>
      <c r="P321" t="s">
        <v>86</v>
      </c>
      <c r="Q321" t="s">
        <v>124</v>
      </c>
      <c r="R321" t="s">
        <v>66</v>
      </c>
      <c r="S321" t="s">
        <v>66</v>
      </c>
      <c r="T321">
        <v>0</v>
      </c>
      <c r="U321">
        <v>0</v>
      </c>
      <c r="V321">
        <v>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3</v>
      </c>
      <c r="AG321">
        <v>0</v>
      </c>
      <c r="AH321">
        <v>5</v>
      </c>
      <c r="AI321">
        <v>2</v>
      </c>
      <c r="AJ321">
        <v>46</v>
      </c>
      <c r="AK321">
        <v>3</v>
      </c>
      <c r="AL321">
        <v>44</v>
      </c>
      <c r="AM321">
        <v>0</v>
      </c>
      <c r="AN321" t="s">
        <v>956</v>
      </c>
      <c r="AO321" t="s">
        <v>68</v>
      </c>
      <c r="AP321">
        <v>0.98299999999999998</v>
      </c>
      <c r="AQ321" t="s">
        <v>69</v>
      </c>
      <c r="AR321">
        <v>90</v>
      </c>
      <c r="AS321">
        <v>3</v>
      </c>
      <c r="AT321">
        <v>3.449E-2</v>
      </c>
      <c r="AU321">
        <v>-5.1200000000000004E-3</v>
      </c>
      <c r="AV321">
        <v>0.15348999999999999</v>
      </c>
      <c r="AW321">
        <v>-2.4119999999999999E-2</v>
      </c>
      <c r="AX321">
        <v>1.23E-3</v>
      </c>
      <c r="AY321">
        <v>-3.2000000000000003E-4</v>
      </c>
      <c r="AZ321">
        <v>8.0099999999999998E-3</v>
      </c>
      <c r="BA321">
        <v>1</v>
      </c>
      <c r="BB321" t="s">
        <v>70</v>
      </c>
      <c r="BC321">
        <v>0.37</v>
      </c>
      <c r="BD321">
        <v>0.22800000000000001</v>
      </c>
      <c r="BE321" t="s">
        <v>71</v>
      </c>
    </row>
    <row r="322" spans="1:57">
      <c r="A322">
        <v>772</v>
      </c>
      <c r="B322" t="s">
        <v>953</v>
      </c>
      <c r="D322" t="s">
        <v>60</v>
      </c>
      <c r="E322" t="s">
        <v>954</v>
      </c>
      <c r="F322" t="s">
        <v>955</v>
      </c>
      <c r="G322">
        <v>433</v>
      </c>
      <c r="H322" t="s">
        <v>63</v>
      </c>
      <c r="I322">
        <v>5</v>
      </c>
      <c r="J322" t="str">
        <f>HYPERLINK("Gene772-zp_tree_all.dnd", "Gene772-tree")</f>
        <v>Gene772-tree</v>
      </c>
      <c r="K322">
        <v>3</v>
      </c>
      <c r="L322">
        <v>2</v>
      </c>
      <c r="M322">
        <v>3</v>
      </c>
      <c r="N322">
        <v>2</v>
      </c>
      <c r="O322">
        <v>0.4</v>
      </c>
      <c r="P322" t="s">
        <v>86</v>
      </c>
      <c r="Q322" t="s">
        <v>124</v>
      </c>
      <c r="R322" t="s">
        <v>66</v>
      </c>
      <c r="S322" t="s">
        <v>66</v>
      </c>
      <c r="T322">
        <v>0</v>
      </c>
      <c r="U322">
        <v>0</v>
      </c>
      <c r="V322">
        <v>3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3</v>
      </c>
      <c r="AG322">
        <v>0</v>
      </c>
      <c r="AH322">
        <v>5</v>
      </c>
      <c r="AI322">
        <v>2</v>
      </c>
      <c r="AJ322">
        <v>46</v>
      </c>
      <c r="AK322">
        <v>3</v>
      </c>
      <c r="AL322">
        <v>44</v>
      </c>
      <c r="AM322">
        <v>0</v>
      </c>
      <c r="AN322" t="s">
        <v>956</v>
      </c>
      <c r="AO322" t="s">
        <v>68</v>
      </c>
      <c r="AP322">
        <v>0.98299999999999998</v>
      </c>
      <c r="AQ322" t="s">
        <v>69</v>
      </c>
      <c r="AR322">
        <v>90</v>
      </c>
      <c r="AS322">
        <v>3</v>
      </c>
      <c r="AT322">
        <v>3.449E-2</v>
      </c>
      <c r="AU322">
        <v>-5.1200000000000004E-3</v>
      </c>
      <c r="AV322">
        <v>0.15348999999999999</v>
      </c>
      <c r="AW322">
        <v>-2.4119999999999999E-2</v>
      </c>
      <c r="AX322">
        <v>1.23E-3</v>
      </c>
      <c r="AY322">
        <v>-3.2000000000000003E-4</v>
      </c>
      <c r="AZ322">
        <v>8.0099999999999998E-3</v>
      </c>
      <c r="BA322">
        <v>1</v>
      </c>
      <c r="BB322" t="s">
        <v>70</v>
      </c>
      <c r="BC322">
        <v>0.37</v>
      </c>
      <c r="BD322">
        <v>0.22800000000000001</v>
      </c>
      <c r="BE322" t="s">
        <v>71</v>
      </c>
    </row>
    <row r="323" spans="1:57">
      <c r="A323">
        <v>806</v>
      </c>
      <c r="B323" t="s">
        <v>970</v>
      </c>
      <c r="D323" t="s">
        <v>60</v>
      </c>
      <c r="E323" t="s">
        <v>971</v>
      </c>
      <c r="F323" t="s">
        <v>74</v>
      </c>
      <c r="G323">
        <v>61</v>
      </c>
      <c r="H323" t="s">
        <v>63</v>
      </c>
      <c r="I323">
        <v>5</v>
      </c>
      <c r="J323" t="str">
        <f>HYPERLINK("Gene806-zp_tree_all.dnd", "Gene806-tree")</f>
        <v>Gene806-tree</v>
      </c>
      <c r="K323">
        <v>5</v>
      </c>
      <c r="L323">
        <v>0</v>
      </c>
      <c r="M323">
        <v>4</v>
      </c>
      <c r="N323">
        <v>0</v>
      </c>
      <c r="O323">
        <v>0</v>
      </c>
      <c r="P323" t="s">
        <v>135</v>
      </c>
      <c r="Q323" t="s">
        <v>66</v>
      </c>
      <c r="R323" t="s">
        <v>66</v>
      </c>
      <c r="S323" t="s">
        <v>66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4</v>
      </c>
      <c r="AI323">
        <v>1</v>
      </c>
      <c r="AJ323">
        <v>7</v>
      </c>
      <c r="AK323">
        <v>0</v>
      </c>
      <c r="AL323">
        <v>2</v>
      </c>
      <c r="AM323">
        <v>0</v>
      </c>
      <c r="AN323" t="s">
        <v>68</v>
      </c>
      <c r="AO323" t="s">
        <v>68</v>
      </c>
      <c r="AP323">
        <v>0</v>
      </c>
      <c r="AQ323" t="s">
        <v>69</v>
      </c>
      <c r="AR323">
        <v>9</v>
      </c>
      <c r="AS323">
        <v>0</v>
      </c>
      <c r="AT323">
        <v>2.4590000000000001E-2</v>
      </c>
      <c r="AU323">
        <v>-2.81E-3</v>
      </c>
      <c r="AV323">
        <v>0.15190000000000001</v>
      </c>
      <c r="AW323">
        <v>-1.8509999999999999E-2</v>
      </c>
      <c r="AX323">
        <v>0</v>
      </c>
      <c r="AY323">
        <v>0</v>
      </c>
      <c r="AZ323">
        <v>0</v>
      </c>
      <c r="BA323">
        <v>1</v>
      </c>
      <c r="BB323" t="s">
        <v>70</v>
      </c>
      <c r="BC323">
        <v>0.66100000000000003</v>
      </c>
      <c r="BD323">
        <v>0.66100000000000003</v>
      </c>
      <c r="BE323" t="s">
        <v>71</v>
      </c>
    </row>
    <row r="324" spans="1:57">
      <c r="A324">
        <v>812</v>
      </c>
      <c r="B324" t="s">
        <v>972</v>
      </c>
      <c r="D324" t="s">
        <v>60</v>
      </c>
      <c r="E324" t="s">
        <v>973</v>
      </c>
      <c r="F324" t="s">
        <v>74</v>
      </c>
      <c r="G324">
        <v>88</v>
      </c>
      <c r="H324" t="s">
        <v>85</v>
      </c>
      <c r="I324">
        <v>4</v>
      </c>
      <c r="J324" t="str">
        <f>HYPERLINK("Gene812-zp_tree_all.dnd", "Gene812-tree")</f>
        <v>Gene812-tree</v>
      </c>
      <c r="K324">
        <v>0</v>
      </c>
      <c r="L324">
        <v>4</v>
      </c>
      <c r="M324">
        <v>0</v>
      </c>
      <c r="N324">
        <v>4</v>
      </c>
      <c r="O324">
        <v>1</v>
      </c>
      <c r="P324" t="s">
        <v>66</v>
      </c>
      <c r="Q324" t="s">
        <v>64</v>
      </c>
      <c r="R324" t="s">
        <v>66</v>
      </c>
      <c r="S324" t="s">
        <v>66</v>
      </c>
      <c r="T324">
        <v>0</v>
      </c>
      <c r="U324">
        <v>0</v>
      </c>
      <c r="V324">
        <v>4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3</v>
      </c>
      <c r="AI324">
        <v>0</v>
      </c>
      <c r="AJ324">
        <v>2</v>
      </c>
      <c r="AK324">
        <v>4</v>
      </c>
      <c r="AL324">
        <v>0</v>
      </c>
      <c r="AM324">
        <v>0</v>
      </c>
      <c r="AN324" t="s">
        <v>974</v>
      </c>
      <c r="AO324" t="s">
        <v>68</v>
      </c>
      <c r="AP324">
        <v>0.81499999999999995</v>
      </c>
      <c r="AQ324" t="s">
        <v>69</v>
      </c>
      <c r="AR324">
        <v>2</v>
      </c>
      <c r="AS324">
        <v>4</v>
      </c>
      <c r="AT324">
        <v>1.1900000000000001E-2</v>
      </c>
      <c r="AU324">
        <v>-2.81E-3</v>
      </c>
      <c r="AV324">
        <v>1.9019999999999999E-2</v>
      </c>
      <c r="AW324">
        <v>-7.77E-3</v>
      </c>
      <c r="AX324">
        <v>1.018E-2</v>
      </c>
      <c r="AY324">
        <v>-1.7099999999999999E-3</v>
      </c>
      <c r="AZ324">
        <v>0.53502000000000005</v>
      </c>
      <c r="BA324">
        <v>0.63600000000000001</v>
      </c>
      <c r="BB324" t="s">
        <v>188</v>
      </c>
      <c r="BC324">
        <v>-0.80900000000000005</v>
      </c>
      <c r="BD324">
        <v>-0.80900000000000005</v>
      </c>
      <c r="BE324" t="s">
        <v>71</v>
      </c>
    </row>
    <row r="325" spans="1:57">
      <c r="A325">
        <v>829</v>
      </c>
      <c r="B325" t="s">
        <v>978</v>
      </c>
      <c r="D325" t="s">
        <v>60</v>
      </c>
      <c r="E325" t="s">
        <v>979</v>
      </c>
      <c r="F325" t="s">
        <v>980</v>
      </c>
      <c r="G325">
        <v>254</v>
      </c>
      <c r="H325" t="s">
        <v>63</v>
      </c>
      <c r="I325">
        <v>5</v>
      </c>
      <c r="J325" t="str">
        <f>HYPERLINK("Gene829-zp_tree_all.dnd", "Gene829-tree")</f>
        <v>Gene829-tree</v>
      </c>
      <c r="K325">
        <v>0</v>
      </c>
      <c r="L325">
        <v>5</v>
      </c>
      <c r="M325">
        <v>0</v>
      </c>
      <c r="N325">
        <v>4</v>
      </c>
      <c r="O325">
        <v>1</v>
      </c>
      <c r="P325" t="s">
        <v>66</v>
      </c>
      <c r="Q325" t="s">
        <v>135</v>
      </c>
      <c r="R325">
        <v>3.1949999999999998</v>
      </c>
      <c r="S325" t="s">
        <v>69</v>
      </c>
      <c r="T325">
        <v>1</v>
      </c>
      <c r="U325">
        <v>2</v>
      </c>
      <c r="V325">
        <v>11</v>
      </c>
      <c r="W325">
        <v>0.15384999999999999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</v>
      </c>
      <c r="AE325">
        <v>2</v>
      </c>
      <c r="AF325">
        <v>11</v>
      </c>
      <c r="AG325">
        <v>0.15384999999999999</v>
      </c>
      <c r="AH325">
        <v>4</v>
      </c>
      <c r="AI325">
        <v>1</v>
      </c>
      <c r="AJ325">
        <v>30</v>
      </c>
      <c r="AK325">
        <v>8</v>
      </c>
      <c r="AL325">
        <v>11</v>
      </c>
      <c r="AM325">
        <v>5</v>
      </c>
      <c r="AN325" t="s">
        <v>981</v>
      </c>
      <c r="AO325" t="s">
        <v>982</v>
      </c>
      <c r="AP325">
        <v>1.96</v>
      </c>
      <c r="AQ325" t="s">
        <v>69</v>
      </c>
      <c r="AR325">
        <v>41</v>
      </c>
      <c r="AS325">
        <v>13</v>
      </c>
      <c r="AT325">
        <v>3.7699999999999997E-2</v>
      </c>
      <c r="AU325">
        <v>-5.0699999999999999E-3</v>
      </c>
      <c r="AV325">
        <v>0.14504</v>
      </c>
      <c r="AW325">
        <v>-2.0500000000000001E-2</v>
      </c>
      <c r="AX325">
        <v>1.247E-2</v>
      </c>
      <c r="AY325">
        <v>-1.92E-3</v>
      </c>
      <c r="AZ325">
        <v>8.5970000000000005E-2</v>
      </c>
      <c r="BA325">
        <v>1</v>
      </c>
      <c r="BB325" t="s">
        <v>70</v>
      </c>
      <c r="BC325">
        <v>0.16800000000000001</v>
      </c>
      <c r="BD325">
        <v>-0.19</v>
      </c>
      <c r="BE325" t="s">
        <v>71</v>
      </c>
    </row>
    <row r="326" spans="1:57">
      <c r="A326">
        <v>876</v>
      </c>
      <c r="B326" t="s">
        <v>1000</v>
      </c>
      <c r="D326" t="s">
        <v>60</v>
      </c>
      <c r="E326" t="s">
        <v>1001</v>
      </c>
      <c r="F326" t="s">
        <v>74</v>
      </c>
      <c r="G326">
        <v>114</v>
      </c>
      <c r="H326" t="s">
        <v>85</v>
      </c>
      <c r="I326">
        <v>4</v>
      </c>
      <c r="J326" t="str">
        <f>HYPERLINK("Gene876-zp_tree_all.dnd", "Gene876-tree")</f>
        <v>Gene876-tree</v>
      </c>
      <c r="K326">
        <v>2</v>
      </c>
      <c r="L326">
        <v>2</v>
      </c>
      <c r="M326">
        <v>2</v>
      </c>
      <c r="N326">
        <v>2</v>
      </c>
      <c r="O326">
        <v>0.5</v>
      </c>
      <c r="P326" t="s">
        <v>124</v>
      </c>
      <c r="Q326" t="s">
        <v>124</v>
      </c>
      <c r="R326" t="s">
        <v>66</v>
      </c>
      <c r="S326" t="s">
        <v>66</v>
      </c>
      <c r="T326">
        <v>1</v>
      </c>
      <c r="U326">
        <v>2</v>
      </c>
      <c r="V326">
        <v>4</v>
      </c>
      <c r="W326">
        <v>0.33333000000000002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</v>
      </c>
      <c r="AE326">
        <v>2</v>
      </c>
      <c r="AF326">
        <v>4</v>
      </c>
      <c r="AG326">
        <v>0.33333000000000002</v>
      </c>
      <c r="AH326">
        <v>2</v>
      </c>
      <c r="AI326">
        <v>1</v>
      </c>
      <c r="AJ326">
        <v>9</v>
      </c>
      <c r="AK326">
        <v>6</v>
      </c>
      <c r="AL326">
        <v>2</v>
      </c>
      <c r="AM326">
        <v>0</v>
      </c>
      <c r="AN326" t="s">
        <v>1002</v>
      </c>
      <c r="AO326" t="s">
        <v>68</v>
      </c>
      <c r="AP326">
        <v>0.97699999999999998</v>
      </c>
      <c r="AQ326" t="s">
        <v>69</v>
      </c>
      <c r="AR326">
        <v>11</v>
      </c>
      <c r="AS326">
        <v>6</v>
      </c>
      <c r="AT326">
        <v>2.5829999999999999E-2</v>
      </c>
      <c r="AU326">
        <v>-8.2500000000000004E-3</v>
      </c>
      <c r="AV326">
        <v>9.5810000000000006E-2</v>
      </c>
      <c r="AW326">
        <v>-3.2039999999999999E-2</v>
      </c>
      <c r="AX326">
        <v>1.051E-2</v>
      </c>
      <c r="AY326">
        <v>-3.3300000000000001E-3</v>
      </c>
      <c r="AZ326">
        <v>0.10975</v>
      </c>
      <c r="BA326">
        <v>1</v>
      </c>
      <c r="BB326" t="s">
        <v>70</v>
      </c>
      <c r="BC326">
        <v>-0.48399999999999999</v>
      </c>
      <c r="BD326">
        <v>-0.48399999999999999</v>
      </c>
      <c r="BE326" t="s">
        <v>71</v>
      </c>
    </row>
    <row r="327" spans="1:57">
      <c r="A327">
        <v>877</v>
      </c>
      <c r="B327" t="s">
        <v>1003</v>
      </c>
      <c r="D327" t="s">
        <v>60</v>
      </c>
      <c r="E327" t="s">
        <v>1004</v>
      </c>
      <c r="F327" t="s">
        <v>74</v>
      </c>
      <c r="G327">
        <v>176</v>
      </c>
      <c r="H327" t="s">
        <v>63</v>
      </c>
      <c r="I327">
        <v>5</v>
      </c>
      <c r="J327" t="str">
        <f>HYPERLINK("Gene877-zp_tree_all.dnd", "Gene877-tree")</f>
        <v>Gene877-tree</v>
      </c>
      <c r="K327">
        <v>5</v>
      </c>
      <c r="L327">
        <v>0</v>
      </c>
      <c r="M327">
        <v>4</v>
      </c>
      <c r="N327">
        <v>0</v>
      </c>
      <c r="O327">
        <v>0</v>
      </c>
      <c r="P327" t="s">
        <v>135</v>
      </c>
      <c r="Q327" t="s">
        <v>66</v>
      </c>
      <c r="R327" t="s">
        <v>66</v>
      </c>
      <c r="S327" t="s">
        <v>66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4</v>
      </c>
      <c r="AI327">
        <v>1</v>
      </c>
      <c r="AJ327">
        <v>11</v>
      </c>
      <c r="AK327">
        <v>0</v>
      </c>
      <c r="AL327">
        <v>5</v>
      </c>
      <c r="AM327">
        <v>0</v>
      </c>
      <c r="AN327" t="s">
        <v>68</v>
      </c>
      <c r="AO327" t="s">
        <v>68</v>
      </c>
      <c r="AP327">
        <v>0</v>
      </c>
      <c r="AQ327" t="s">
        <v>69</v>
      </c>
      <c r="AR327">
        <v>16</v>
      </c>
      <c r="AS327">
        <v>0</v>
      </c>
      <c r="AT327">
        <v>1.61E-2</v>
      </c>
      <c r="AU327">
        <v>-2.7799999999999999E-3</v>
      </c>
      <c r="AV327">
        <v>8.1909999999999997E-2</v>
      </c>
      <c r="AW327">
        <v>-1.4880000000000001E-2</v>
      </c>
      <c r="AX327">
        <v>0</v>
      </c>
      <c r="AY327">
        <v>0</v>
      </c>
      <c r="AZ327">
        <v>0</v>
      </c>
      <c r="BA327">
        <v>1</v>
      </c>
      <c r="BB327" t="s">
        <v>70</v>
      </c>
      <c r="BC327">
        <v>0</v>
      </c>
      <c r="BD327">
        <v>0</v>
      </c>
      <c r="BE327" t="s">
        <v>71</v>
      </c>
    </row>
    <row r="328" spans="1:57">
      <c r="A328">
        <v>882</v>
      </c>
      <c r="B328" t="s">
        <v>1009</v>
      </c>
      <c r="D328" t="s">
        <v>60</v>
      </c>
      <c r="E328" t="s">
        <v>1010</v>
      </c>
      <c r="F328" t="s">
        <v>1011</v>
      </c>
      <c r="G328">
        <v>145</v>
      </c>
      <c r="H328" t="s">
        <v>63</v>
      </c>
      <c r="I328">
        <v>5</v>
      </c>
      <c r="J328" t="str">
        <f>HYPERLINK("Gene882-zp_tree_all.dnd", "Gene882-tree")</f>
        <v>Gene882-tree</v>
      </c>
      <c r="K328">
        <v>5</v>
      </c>
      <c r="L328">
        <v>0</v>
      </c>
      <c r="M328">
        <v>5</v>
      </c>
      <c r="N328">
        <v>0</v>
      </c>
      <c r="O328">
        <v>0</v>
      </c>
      <c r="P328" t="s">
        <v>96</v>
      </c>
      <c r="Q328" t="s">
        <v>66</v>
      </c>
      <c r="R328" t="s">
        <v>66</v>
      </c>
      <c r="S328" t="s">
        <v>66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4</v>
      </c>
      <c r="AI328">
        <v>2</v>
      </c>
      <c r="AJ328">
        <v>7</v>
      </c>
      <c r="AK328">
        <v>0</v>
      </c>
      <c r="AL328">
        <v>10</v>
      </c>
      <c r="AM328">
        <v>0</v>
      </c>
      <c r="AN328" t="s">
        <v>68</v>
      </c>
      <c r="AO328" t="s">
        <v>68</v>
      </c>
      <c r="AP328">
        <v>0</v>
      </c>
      <c r="AQ328" t="s">
        <v>69</v>
      </c>
      <c r="AR328">
        <v>17</v>
      </c>
      <c r="AS328">
        <v>0</v>
      </c>
      <c r="AT328">
        <v>1.9769999999999999E-2</v>
      </c>
      <c r="AU328">
        <v>-2.8900000000000002E-3</v>
      </c>
      <c r="AV328">
        <v>9.5089999999999994E-2</v>
      </c>
      <c r="AW328">
        <v>-1.4630000000000001E-2</v>
      </c>
      <c r="AX328">
        <v>0</v>
      </c>
      <c r="AY328">
        <v>0</v>
      </c>
      <c r="AZ328">
        <v>0</v>
      </c>
      <c r="BA328">
        <v>1</v>
      </c>
      <c r="BB328" t="s">
        <v>70</v>
      </c>
      <c r="BC328">
        <v>0.878</v>
      </c>
      <c r="BD328">
        <v>0.878</v>
      </c>
      <c r="BE328" t="s">
        <v>71</v>
      </c>
    </row>
    <row r="329" spans="1:57">
      <c r="A329">
        <v>898</v>
      </c>
      <c r="B329" t="s">
        <v>407</v>
      </c>
      <c r="D329" t="s">
        <v>60</v>
      </c>
      <c r="E329" t="s">
        <v>1022</v>
      </c>
      <c r="F329" t="s">
        <v>409</v>
      </c>
      <c r="G329">
        <v>89</v>
      </c>
      <c r="H329" t="s">
        <v>63</v>
      </c>
      <c r="I329">
        <v>5</v>
      </c>
      <c r="J329" t="str">
        <f>HYPERLINK("Gene898-zp_tree_all.dnd", "Gene898-tree")</f>
        <v>Gene898-tree</v>
      </c>
      <c r="K329">
        <v>3</v>
      </c>
      <c r="L329">
        <v>2</v>
      </c>
      <c r="M329">
        <v>2</v>
      </c>
      <c r="N329">
        <v>2</v>
      </c>
      <c r="O329">
        <v>0.5</v>
      </c>
      <c r="P329" t="s">
        <v>185</v>
      </c>
      <c r="Q329" t="s">
        <v>124</v>
      </c>
      <c r="R329" t="s">
        <v>66</v>
      </c>
      <c r="S329" t="s">
        <v>66</v>
      </c>
      <c r="T329">
        <v>0</v>
      </c>
      <c r="U329">
        <v>0</v>
      </c>
      <c r="V329">
        <v>5</v>
      </c>
      <c r="W329">
        <v>0</v>
      </c>
      <c r="X329">
        <v>0</v>
      </c>
      <c r="Y329">
        <v>0</v>
      </c>
      <c r="Z329">
        <v>0</v>
      </c>
      <c r="AA329">
        <v>2</v>
      </c>
      <c r="AB329">
        <v>0</v>
      </c>
      <c r="AC329">
        <v>0</v>
      </c>
      <c r="AD329">
        <v>0</v>
      </c>
      <c r="AE329">
        <v>0</v>
      </c>
      <c r="AF329">
        <v>3</v>
      </c>
      <c r="AG329">
        <v>0</v>
      </c>
      <c r="AH329">
        <v>3</v>
      </c>
      <c r="AI329">
        <v>1</v>
      </c>
      <c r="AJ329">
        <v>5</v>
      </c>
      <c r="AK329">
        <v>3</v>
      </c>
      <c r="AL329">
        <v>7</v>
      </c>
      <c r="AM329">
        <v>2</v>
      </c>
      <c r="AN329" t="s">
        <v>1023</v>
      </c>
      <c r="AO329" t="s">
        <v>1024</v>
      </c>
      <c r="AP329">
        <v>1.2769999999999999</v>
      </c>
      <c r="AQ329" t="s">
        <v>69</v>
      </c>
      <c r="AR329">
        <v>12</v>
      </c>
      <c r="AS329">
        <v>5</v>
      </c>
      <c r="AT329">
        <v>3.7879999999999997E-2</v>
      </c>
      <c r="AU329">
        <v>-6.9199999999999999E-3</v>
      </c>
      <c r="AV329">
        <v>0.13739999999999999</v>
      </c>
      <c r="AW329">
        <v>-2.8199999999999999E-2</v>
      </c>
      <c r="AX329">
        <v>1.393E-2</v>
      </c>
      <c r="AY329">
        <v>-1.3799999999999999E-3</v>
      </c>
      <c r="AZ329">
        <v>0.10141</v>
      </c>
      <c r="BA329">
        <v>1</v>
      </c>
      <c r="BB329" t="s">
        <v>70</v>
      </c>
      <c r="BC329">
        <v>0.39600000000000002</v>
      </c>
      <c r="BD329">
        <v>0.39600000000000002</v>
      </c>
      <c r="BE329" t="s">
        <v>71</v>
      </c>
    </row>
    <row r="330" spans="1:57">
      <c r="A330">
        <v>898</v>
      </c>
      <c r="B330" t="s">
        <v>407</v>
      </c>
      <c r="D330" t="s">
        <v>60</v>
      </c>
      <c r="E330" t="s">
        <v>1022</v>
      </c>
      <c r="F330" t="s">
        <v>409</v>
      </c>
      <c r="G330">
        <v>89</v>
      </c>
      <c r="H330" t="s">
        <v>63</v>
      </c>
      <c r="I330">
        <v>5</v>
      </c>
      <c r="J330" t="str">
        <f>HYPERLINK("Gene898-zp_tree_all.dnd", "Gene898-tree")</f>
        <v>Gene898-tree</v>
      </c>
      <c r="K330">
        <v>3</v>
      </c>
      <c r="L330">
        <v>2</v>
      </c>
      <c r="M330">
        <v>2</v>
      </c>
      <c r="N330">
        <v>2</v>
      </c>
      <c r="O330">
        <v>0.5</v>
      </c>
      <c r="P330" t="s">
        <v>185</v>
      </c>
      <c r="Q330" t="s">
        <v>124</v>
      </c>
      <c r="R330" t="s">
        <v>66</v>
      </c>
      <c r="S330" t="s">
        <v>66</v>
      </c>
      <c r="T330">
        <v>0</v>
      </c>
      <c r="U330">
        <v>0</v>
      </c>
      <c r="V330">
        <v>5</v>
      </c>
      <c r="W330">
        <v>0</v>
      </c>
      <c r="X330">
        <v>0</v>
      </c>
      <c r="Y330">
        <v>0</v>
      </c>
      <c r="Z330">
        <v>0</v>
      </c>
      <c r="AA330">
        <v>2</v>
      </c>
      <c r="AB330">
        <v>0</v>
      </c>
      <c r="AC330">
        <v>0</v>
      </c>
      <c r="AD330">
        <v>0</v>
      </c>
      <c r="AE330">
        <v>0</v>
      </c>
      <c r="AF330">
        <v>3</v>
      </c>
      <c r="AG330">
        <v>0</v>
      </c>
      <c r="AH330">
        <v>3</v>
      </c>
      <c r="AI330">
        <v>1</v>
      </c>
      <c r="AJ330">
        <v>5</v>
      </c>
      <c r="AK330">
        <v>3</v>
      </c>
      <c r="AL330">
        <v>7</v>
      </c>
      <c r="AM330">
        <v>2</v>
      </c>
      <c r="AN330" t="s">
        <v>1023</v>
      </c>
      <c r="AO330" t="s">
        <v>1024</v>
      </c>
      <c r="AP330">
        <v>1.2769999999999999</v>
      </c>
      <c r="AQ330" t="s">
        <v>69</v>
      </c>
      <c r="AR330">
        <v>12</v>
      </c>
      <c r="AS330">
        <v>5</v>
      </c>
      <c r="AT330">
        <v>3.7879999999999997E-2</v>
      </c>
      <c r="AU330">
        <v>-6.9199999999999999E-3</v>
      </c>
      <c r="AV330">
        <v>0.13739999999999999</v>
      </c>
      <c r="AW330">
        <v>-2.8199999999999999E-2</v>
      </c>
      <c r="AX330">
        <v>1.393E-2</v>
      </c>
      <c r="AY330">
        <v>-1.3799999999999999E-3</v>
      </c>
      <c r="AZ330">
        <v>0.10141</v>
      </c>
      <c r="BA330">
        <v>1</v>
      </c>
      <c r="BB330" t="s">
        <v>70</v>
      </c>
      <c r="BC330">
        <v>0.39600000000000002</v>
      </c>
      <c r="BD330">
        <v>0.39600000000000002</v>
      </c>
      <c r="BE330" t="s">
        <v>71</v>
      </c>
    </row>
    <row r="331" spans="1:57">
      <c r="A331">
        <v>904</v>
      </c>
      <c r="B331" t="s">
        <v>1028</v>
      </c>
      <c r="D331" t="s">
        <v>60</v>
      </c>
      <c r="E331" t="s">
        <v>1029</v>
      </c>
      <c r="F331" t="s">
        <v>1030</v>
      </c>
      <c r="G331">
        <v>160</v>
      </c>
      <c r="H331" t="s">
        <v>63</v>
      </c>
      <c r="I331">
        <v>5</v>
      </c>
      <c r="J331" t="str">
        <f>HYPERLINK("Gene904-zp_tree_all.dnd", "Gene904-tree")</f>
        <v>Gene904-tree</v>
      </c>
      <c r="K331">
        <v>4</v>
      </c>
      <c r="L331">
        <v>1</v>
      </c>
      <c r="M331">
        <v>4</v>
      </c>
      <c r="N331">
        <v>1</v>
      </c>
      <c r="O331">
        <v>0.2</v>
      </c>
      <c r="P331" t="s">
        <v>64</v>
      </c>
      <c r="Q331" t="s">
        <v>65</v>
      </c>
      <c r="R331" t="s">
        <v>66</v>
      </c>
      <c r="S331" t="s">
        <v>66</v>
      </c>
      <c r="T331">
        <v>1</v>
      </c>
      <c r="U331">
        <v>2</v>
      </c>
      <c r="V331">
        <v>2</v>
      </c>
      <c r="W331">
        <v>0.5</v>
      </c>
      <c r="X331">
        <v>0</v>
      </c>
      <c r="Y331">
        <v>0</v>
      </c>
      <c r="Z331">
        <v>0</v>
      </c>
      <c r="AA331">
        <v>2</v>
      </c>
      <c r="AB331">
        <v>0</v>
      </c>
      <c r="AC331">
        <v>0</v>
      </c>
      <c r="AD331">
        <v>0</v>
      </c>
      <c r="AE331">
        <v>0</v>
      </c>
      <c r="AF331">
        <v>2</v>
      </c>
      <c r="AG331">
        <v>0</v>
      </c>
      <c r="AH331">
        <v>5</v>
      </c>
      <c r="AI331">
        <v>1</v>
      </c>
      <c r="AJ331">
        <v>11</v>
      </c>
      <c r="AK331">
        <v>2</v>
      </c>
      <c r="AL331">
        <v>13</v>
      </c>
      <c r="AM331">
        <v>2</v>
      </c>
      <c r="AN331" t="s">
        <v>1031</v>
      </c>
      <c r="AO331" t="s">
        <v>1032</v>
      </c>
      <c r="AP331">
        <v>0.104</v>
      </c>
      <c r="AQ331" t="s">
        <v>69</v>
      </c>
      <c r="AR331">
        <v>24</v>
      </c>
      <c r="AS331">
        <v>4</v>
      </c>
      <c r="AT331">
        <v>2.9170000000000001E-2</v>
      </c>
      <c r="AU331">
        <v>-4.96E-3</v>
      </c>
      <c r="AV331">
        <v>0.12386999999999999</v>
      </c>
      <c r="AW331">
        <v>-2.3189999999999999E-2</v>
      </c>
      <c r="AX331">
        <v>4.8799999999999998E-3</v>
      </c>
      <c r="AY331">
        <v>-6.8000000000000005E-4</v>
      </c>
      <c r="AZ331">
        <v>3.9419999999999997E-2</v>
      </c>
      <c r="BA331">
        <v>1</v>
      </c>
      <c r="BB331" t="s">
        <v>70</v>
      </c>
      <c r="BC331">
        <v>0.59799999999999998</v>
      </c>
      <c r="BD331">
        <v>0.36799999999999999</v>
      </c>
      <c r="BE331" t="s">
        <v>71</v>
      </c>
    </row>
    <row r="332" spans="1:57">
      <c r="A332">
        <v>908</v>
      </c>
      <c r="B332" t="s">
        <v>1033</v>
      </c>
      <c r="D332" t="s">
        <v>60</v>
      </c>
      <c r="E332" t="s">
        <v>1034</v>
      </c>
      <c r="F332" t="s">
        <v>1035</v>
      </c>
      <c r="G332">
        <v>631</v>
      </c>
      <c r="H332" t="s">
        <v>85</v>
      </c>
      <c r="I332">
        <v>4</v>
      </c>
      <c r="J332" t="str">
        <f>HYPERLINK("Gene908-zp_tree_all.dnd", "Gene908-tree")</f>
        <v>Gene908-tree</v>
      </c>
      <c r="K332">
        <v>0</v>
      </c>
      <c r="L332">
        <v>4</v>
      </c>
      <c r="M332">
        <v>0</v>
      </c>
      <c r="N332">
        <v>4</v>
      </c>
      <c r="O332">
        <v>1</v>
      </c>
      <c r="P332" t="s">
        <v>66</v>
      </c>
      <c r="Q332" t="s">
        <v>64</v>
      </c>
      <c r="R332" t="s">
        <v>66</v>
      </c>
      <c r="S332" t="s">
        <v>66</v>
      </c>
      <c r="T332">
        <v>0</v>
      </c>
      <c r="U332">
        <v>0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4</v>
      </c>
      <c r="AG332">
        <v>0</v>
      </c>
      <c r="AH332">
        <v>4</v>
      </c>
      <c r="AI332">
        <v>1</v>
      </c>
      <c r="AJ332">
        <v>101</v>
      </c>
      <c r="AK332">
        <v>4</v>
      </c>
      <c r="AL332">
        <v>5</v>
      </c>
      <c r="AM332">
        <v>0</v>
      </c>
      <c r="AN332" t="s">
        <v>1036</v>
      </c>
      <c r="AO332" t="s">
        <v>68</v>
      </c>
      <c r="AP332">
        <v>1.4139999999999999</v>
      </c>
      <c r="AQ332" t="s">
        <v>69</v>
      </c>
      <c r="AR332">
        <v>106</v>
      </c>
      <c r="AS332">
        <v>4</v>
      </c>
      <c r="AT332">
        <v>2.8969999999999999E-2</v>
      </c>
      <c r="AU332">
        <v>-7.0899999999999999E-3</v>
      </c>
      <c r="AV332">
        <v>0.14413999999999999</v>
      </c>
      <c r="AW332">
        <v>-3.875E-2</v>
      </c>
      <c r="AX332">
        <v>1.3600000000000001E-3</v>
      </c>
      <c r="AY332">
        <v>0</v>
      </c>
      <c r="AZ332">
        <v>9.4199999999999996E-3</v>
      </c>
      <c r="BA332">
        <v>1</v>
      </c>
      <c r="BB332" t="s">
        <v>70</v>
      </c>
      <c r="BC332">
        <v>-0.63300000000000001</v>
      </c>
      <c r="BD332">
        <v>-0.72299999999999998</v>
      </c>
      <c r="BE332" t="s">
        <v>71</v>
      </c>
    </row>
    <row r="333" spans="1:57">
      <c r="A333">
        <v>909</v>
      </c>
      <c r="B333" t="s">
        <v>1037</v>
      </c>
      <c r="D333" t="s">
        <v>60</v>
      </c>
      <c r="E333" t="s">
        <v>1038</v>
      </c>
      <c r="F333" t="s">
        <v>1039</v>
      </c>
      <c r="G333">
        <v>392</v>
      </c>
      <c r="H333" t="s">
        <v>85</v>
      </c>
      <c r="I333">
        <v>4</v>
      </c>
      <c r="J333" t="str">
        <f>HYPERLINK("Gene909-zp_tree_all.dnd", "Gene909-tree")</f>
        <v>Gene909-tree</v>
      </c>
      <c r="K333">
        <v>3</v>
      </c>
      <c r="L333">
        <v>1</v>
      </c>
      <c r="M333">
        <v>3</v>
      </c>
      <c r="N333">
        <v>1</v>
      </c>
      <c r="O333">
        <v>0.25</v>
      </c>
      <c r="P333" t="s">
        <v>86</v>
      </c>
      <c r="Q333" t="s">
        <v>65</v>
      </c>
      <c r="R333" t="s">
        <v>66</v>
      </c>
      <c r="S333" t="s">
        <v>66</v>
      </c>
      <c r="T333">
        <v>0</v>
      </c>
      <c r="U333">
        <v>0</v>
      </c>
      <c r="V333">
        <v>3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3</v>
      </c>
      <c r="AG333">
        <v>0</v>
      </c>
      <c r="AH333">
        <v>3</v>
      </c>
      <c r="AI333">
        <v>1</v>
      </c>
      <c r="AJ333">
        <v>52</v>
      </c>
      <c r="AK333">
        <v>3</v>
      </c>
      <c r="AL333">
        <v>4</v>
      </c>
      <c r="AM333">
        <v>0</v>
      </c>
      <c r="AN333" t="s">
        <v>1040</v>
      </c>
      <c r="AO333" t="s">
        <v>68</v>
      </c>
      <c r="AP333">
        <v>0.49199999999999999</v>
      </c>
      <c r="AQ333" t="s">
        <v>69</v>
      </c>
      <c r="AR333">
        <v>56</v>
      </c>
      <c r="AS333">
        <v>3</v>
      </c>
      <c r="AT333">
        <v>2.537E-2</v>
      </c>
      <c r="AU333">
        <v>-8.5299999999999994E-3</v>
      </c>
      <c r="AV333">
        <v>0.13449</v>
      </c>
      <c r="AW333">
        <v>-4.5969999999999997E-2</v>
      </c>
      <c r="AX333">
        <v>1.6100000000000001E-3</v>
      </c>
      <c r="AY333">
        <v>-6.6E-4</v>
      </c>
      <c r="AZ333">
        <v>1.1990000000000001E-2</v>
      </c>
      <c r="BA333">
        <v>1</v>
      </c>
      <c r="BB333" t="s">
        <v>70</v>
      </c>
      <c r="BC333">
        <v>-0.59399999999999997</v>
      </c>
      <c r="BD333">
        <v>-0.75900000000000001</v>
      </c>
      <c r="BE333" t="s">
        <v>71</v>
      </c>
    </row>
    <row r="334" spans="1:57">
      <c r="A334">
        <v>914</v>
      </c>
      <c r="B334" t="s">
        <v>1041</v>
      </c>
      <c r="D334" t="s">
        <v>60</v>
      </c>
      <c r="E334" t="s">
        <v>1042</v>
      </c>
      <c r="F334" t="s">
        <v>74</v>
      </c>
      <c r="G334">
        <v>124</v>
      </c>
      <c r="H334" t="s">
        <v>63</v>
      </c>
      <c r="I334">
        <v>5</v>
      </c>
      <c r="J334" t="str">
        <f>HYPERLINK("Gene914-zp_tree_all.dnd", "Gene914-tree")</f>
        <v>Gene914-tree</v>
      </c>
      <c r="K334">
        <v>2</v>
      </c>
      <c r="L334">
        <v>3</v>
      </c>
      <c r="M334">
        <v>1</v>
      </c>
      <c r="N334">
        <v>3</v>
      </c>
      <c r="O334">
        <v>0.75</v>
      </c>
      <c r="P334" t="s">
        <v>65</v>
      </c>
      <c r="Q334" t="s">
        <v>86</v>
      </c>
      <c r="R334" t="s">
        <v>66</v>
      </c>
      <c r="S334" t="s">
        <v>66</v>
      </c>
      <c r="T334">
        <v>0</v>
      </c>
      <c r="U334">
        <v>0</v>
      </c>
      <c r="V334">
        <v>10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0</v>
      </c>
      <c r="AC334">
        <v>0</v>
      </c>
      <c r="AD334">
        <v>0</v>
      </c>
      <c r="AE334">
        <v>0</v>
      </c>
      <c r="AF334">
        <v>7</v>
      </c>
      <c r="AG334">
        <v>0</v>
      </c>
      <c r="AH334">
        <v>4</v>
      </c>
      <c r="AI334">
        <v>1</v>
      </c>
      <c r="AJ334">
        <v>13</v>
      </c>
      <c r="AK334">
        <v>7</v>
      </c>
      <c r="AL334">
        <v>4</v>
      </c>
      <c r="AM334">
        <v>3</v>
      </c>
      <c r="AN334" t="s">
        <v>1043</v>
      </c>
      <c r="AO334" t="s">
        <v>1044</v>
      </c>
      <c r="AP334">
        <v>1.026</v>
      </c>
      <c r="AQ334" t="s">
        <v>69</v>
      </c>
      <c r="AR334">
        <v>17</v>
      </c>
      <c r="AS334">
        <v>10</v>
      </c>
      <c r="AT334">
        <v>4.0399999999999998E-2</v>
      </c>
      <c r="AU334">
        <v>-5.1399999999999996E-3</v>
      </c>
      <c r="AV334">
        <v>0.12554000000000001</v>
      </c>
      <c r="AW334">
        <v>-1.498E-2</v>
      </c>
      <c r="AX334">
        <v>1.9720000000000001E-2</v>
      </c>
      <c r="AY334">
        <v>-3.0300000000000001E-3</v>
      </c>
      <c r="AZ334">
        <v>0.15705</v>
      </c>
      <c r="BA334">
        <v>1</v>
      </c>
      <c r="BB334" t="s">
        <v>70</v>
      </c>
      <c r="BC334">
        <v>-0.24399999999999999</v>
      </c>
      <c r="BD334">
        <v>-0.24399999999999999</v>
      </c>
      <c r="BE334" t="s">
        <v>71</v>
      </c>
    </row>
    <row r="335" spans="1:57">
      <c r="A335">
        <v>932</v>
      </c>
      <c r="B335" t="s">
        <v>1050</v>
      </c>
      <c r="D335" t="s">
        <v>60</v>
      </c>
      <c r="E335" t="s">
        <v>1051</v>
      </c>
      <c r="F335" t="s">
        <v>74</v>
      </c>
      <c r="G335">
        <v>131</v>
      </c>
      <c r="H335" t="s">
        <v>63</v>
      </c>
      <c r="I335">
        <v>5</v>
      </c>
      <c r="J335" t="str">
        <f>HYPERLINK("Gene932-zp_tree_all.dnd", "Gene932-tree")</f>
        <v>Gene932-tree</v>
      </c>
      <c r="K335">
        <v>2</v>
      </c>
      <c r="L335">
        <v>3</v>
      </c>
      <c r="M335">
        <v>2</v>
      </c>
      <c r="N335">
        <v>3</v>
      </c>
      <c r="O335">
        <v>0.6</v>
      </c>
      <c r="P335" t="s">
        <v>124</v>
      </c>
      <c r="Q335" t="s">
        <v>86</v>
      </c>
      <c r="R335" t="s">
        <v>66</v>
      </c>
      <c r="S335" t="s">
        <v>66</v>
      </c>
      <c r="T335">
        <v>1</v>
      </c>
      <c r="U335">
        <v>2</v>
      </c>
      <c r="V335">
        <v>9</v>
      </c>
      <c r="W335">
        <v>0.18182000000000001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</v>
      </c>
      <c r="AE335">
        <v>2</v>
      </c>
      <c r="AF335">
        <v>9</v>
      </c>
      <c r="AG335">
        <v>0.18182000000000001</v>
      </c>
      <c r="AH335">
        <v>4</v>
      </c>
      <c r="AI335">
        <v>1</v>
      </c>
      <c r="AJ335">
        <v>4</v>
      </c>
      <c r="AK335">
        <v>8</v>
      </c>
      <c r="AL335">
        <v>3</v>
      </c>
      <c r="AM335">
        <v>3</v>
      </c>
      <c r="AN335" t="s">
        <v>1052</v>
      </c>
      <c r="AO335" t="s">
        <v>1053</v>
      </c>
      <c r="AP335">
        <v>1.006</v>
      </c>
      <c r="AQ335" t="s">
        <v>69</v>
      </c>
      <c r="AR335">
        <v>7</v>
      </c>
      <c r="AS335">
        <v>11</v>
      </c>
      <c r="AT335">
        <v>2.137E-2</v>
      </c>
      <c r="AU335">
        <v>-3.49E-3</v>
      </c>
      <c r="AV335">
        <v>4.3189999999999999E-2</v>
      </c>
      <c r="AW335">
        <v>-7.9600000000000001E-3</v>
      </c>
      <c r="AX335">
        <v>1.6289999999999999E-2</v>
      </c>
      <c r="AY335">
        <v>-2.7799999999999999E-3</v>
      </c>
      <c r="AZ335">
        <v>0.37728</v>
      </c>
      <c r="BA335">
        <v>0.96899999999999997</v>
      </c>
      <c r="BB335" t="s">
        <v>70</v>
      </c>
      <c r="BC335">
        <v>-0.20499999999999999</v>
      </c>
      <c r="BD335">
        <v>-0.20499999999999999</v>
      </c>
      <c r="BE335" t="s">
        <v>71</v>
      </c>
    </row>
    <row r="336" spans="1:57">
      <c r="A336">
        <v>935</v>
      </c>
      <c r="B336" t="s">
        <v>1057</v>
      </c>
      <c r="D336" t="s">
        <v>60</v>
      </c>
      <c r="E336" t="s">
        <v>1058</v>
      </c>
      <c r="F336" t="s">
        <v>773</v>
      </c>
      <c r="G336">
        <v>513</v>
      </c>
      <c r="H336" t="s">
        <v>85</v>
      </c>
      <c r="I336">
        <v>4</v>
      </c>
      <c r="J336" t="str">
        <f>HYPERLINK("Gene935-zp_tree_all.dnd", "Gene935-tree")</f>
        <v>Gene935-tree</v>
      </c>
      <c r="K336">
        <v>3</v>
      </c>
      <c r="L336">
        <v>1</v>
      </c>
      <c r="M336">
        <v>3</v>
      </c>
      <c r="N336">
        <v>1</v>
      </c>
      <c r="O336">
        <v>0.25</v>
      </c>
      <c r="P336" t="s">
        <v>86</v>
      </c>
      <c r="Q336" t="s">
        <v>65</v>
      </c>
      <c r="R336" t="s">
        <v>66</v>
      </c>
      <c r="S336" t="s">
        <v>66</v>
      </c>
      <c r="T336">
        <v>0</v>
      </c>
      <c r="U336">
        <v>0</v>
      </c>
      <c r="V336">
        <v>3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3</v>
      </c>
      <c r="AG336">
        <v>0</v>
      </c>
      <c r="AH336">
        <v>4</v>
      </c>
      <c r="AI336">
        <v>0</v>
      </c>
      <c r="AJ336">
        <v>76</v>
      </c>
      <c r="AK336">
        <v>3</v>
      </c>
      <c r="AL336">
        <v>0</v>
      </c>
      <c r="AM336">
        <v>0</v>
      </c>
      <c r="AN336" t="s">
        <v>1059</v>
      </c>
      <c r="AO336" t="s">
        <v>68</v>
      </c>
      <c r="AP336">
        <v>0.52</v>
      </c>
      <c r="AQ336" t="s">
        <v>69</v>
      </c>
      <c r="AR336">
        <v>76</v>
      </c>
      <c r="AS336">
        <v>3</v>
      </c>
      <c r="AT336">
        <v>2.4369999999999999E-2</v>
      </c>
      <c r="AU336">
        <v>-5.47E-3</v>
      </c>
      <c r="AV336">
        <v>0.11811000000000001</v>
      </c>
      <c r="AW336">
        <v>-2.7060000000000001E-2</v>
      </c>
      <c r="AX336">
        <v>1.25E-3</v>
      </c>
      <c r="AY336">
        <v>-5.1000000000000004E-4</v>
      </c>
      <c r="AZ336">
        <v>1.0580000000000001E-2</v>
      </c>
      <c r="BA336">
        <v>1</v>
      </c>
      <c r="BB336" t="s">
        <v>70</v>
      </c>
      <c r="BC336">
        <v>-0.47099999999999997</v>
      </c>
      <c r="BD336">
        <v>-0.87</v>
      </c>
      <c r="BE336" t="s">
        <v>71</v>
      </c>
    </row>
    <row r="337" spans="1:57">
      <c r="A337">
        <v>938</v>
      </c>
      <c r="B337" t="s">
        <v>1060</v>
      </c>
      <c r="D337" t="s">
        <v>60</v>
      </c>
      <c r="E337" t="s">
        <v>1061</v>
      </c>
      <c r="F337" t="s">
        <v>1062</v>
      </c>
      <c r="G337">
        <v>274</v>
      </c>
      <c r="H337" t="s">
        <v>85</v>
      </c>
      <c r="I337">
        <v>4</v>
      </c>
      <c r="J337" t="str">
        <f>HYPERLINK("Gene938-zp_tree_all.dnd", "Gene938-tree")</f>
        <v>Gene938-tree</v>
      </c>
      <c r="K337">
        <v>3</v>
      </c>
      <c r="L337">
        <v>1</v>
      </c>
      <c r="M337">
        <v>3</v>
      </c>
      <c r="N337">
        <v>1</v>
      </c>
      <c r="O337">
        <v>0.25</v>
      </c>
      <c r="P337" t="s">
        <v>86</v>
      </c>
      <c r="Q337" t="s">
        <v>65</v>
      </c>
      <c r="R337" t="s">
        <v>66</v>
      </c>
      <c r="S337" t="s">
        <v>66</v>
      </c>
      <c r="T337">
        <v>0</v>
      </c>
      <c r="U337">
        <v>0</v>
      </c>
      <c r="V337">
        <v>2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2</v>
      </c>
      <c r="AG337">
        <v>0</v>
      </c>
      <c r="AH337">
        <v>4</v>
      </c>
      <c r="AI337">
        <v>1</v>
      </c>
      <c r="AJ337">
        <v>45</v>
      </c>
      <c r="AK337">
        <v>2</v>
      </c>
      <c r="AL337">
        <v>5</v>
      </c>
      <c r="AM337">
        <v>0</v>
      </c>
      <c r="AN337" t="s">
        <v>1063</v>
      </c>
      <c r="AO337" t="s">
        <v>68</v>
      </c>
      <c r="AP337">
        <v>0.498</v>
      </c>
      <c r="AQ337" t="s">
        <v>69</v>
      </c>
      <c r="AR337">
        <v>50</v>
      </c>
      <c r="AS337">
        <v>2</v>
      </c>
      <c r="AT337">
        <v>3.1629999999999998E-2</v>
      </c>
      <c r="AU337">
        <v>-6.3600000000000002E-3</v>
      </c>
      <c r="AV337">
        <v>0.13286999999999999</v>
      </c>
      <c r="AW337">
        <v>-2.7459999999999998E-2</v>
      </c>
      <c r="AX337">
        <v>1.64E-3</v>
      </c>
      <c r="AY337">
        <v>-6.7000000000000002E-4</v>
      </c>
      <c r="AZ337">
        <v>1.2319999999999999E-2</v>
      </c>
      <c r="BA337">
        <v>1</v>
      </c>
      <c r="BB337" t="s">
        <v>70</v>
      </c>
      <c r="BC337">
        <v>-0.28299999999999997</v>
      </c>
      <c r="BD337">
        <v>-0.86699999999999999</v>
      </c>
      <c r="BE337" t="s">
        <v>71</v>
      </c>
    </row>
    <row r="338" spans="1:57">
      <c r="A338">
        <v>964</v>
      </c>
      <c r="B338" t="s">
        <v>1073</v>
      </c>
      <c r="D338" t="s">
        <v>60</v>
      </c>
      <c r="E338" t="s">
        <v>1074</v>
      </c>
      <c r="F338" t="s">
        <v>1075</v>
      </c>
      <c r="G338">
        <v>199</v>
      </c>
      <c r="H338" t="s">
        <v>63</v>
      </c>
      <c r="I338">
        <v>5</v>
      </c>
      <c r="J338" t="str">
        <f>HYPERLINK("Gene964-zp_tree_all.dnd", "Gene964-tree")</f>
        <v>Gene964-tree</v>
      </c>
      <c r="K338">
        <v>5</v>
      </c>
      <c r="L338">
        <v>0</v>
      </c>
      <c r="M338">
        <v>4</v>
      </c>
      <c r="N338">
        <v>0</v>
      </c>
      <c r="O338">
        <v>0</v>
      </c>
      <c r="P338" t="s">
        <v>135</v>
      </c>
      <c r="Q338" t="s">
        <v>66</v>
      </c>
      <c r="R338" t="s">
        <v>66</v>
      </c>
      <c r="S338" t="s">
        <v>66</v>
      </c>
      <c r="T338">
        <v>0</v>
      </c>
      <c r="U338">
        <v>0</v>
      </c>
      <c r="V338">
        <v>7</v>
      </c>
      <c r="W338">
        <v>0</v>
      </c>
      <c r="X338">
        <v>0</v>
      </c>
      <c r="Y338">
        <v>0</v>
      </c>
      <c r="Z338">
        <v>0</v>
      </c>
      <c r="AA338">
        <v>7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3</v>
      </c>
      <c r="AI338">
        <v>1</v>
      </c>
      <c r="AJ338">
        <v>8</v>
      </c>
      <c r="AK338">
        <v>0</v>
      </c>
      <c r="AL338">
        <v>18</v>
      </c>
      <c r="AM338">
        <v>8</v>
      </c>
      <c r="AN338" t="s">
        <v>68</v>
      </c>
      <c r="AO338" t="s">
        <v>1076</v>
      </c>
      <c r="AP338">
        <v>0</v>
      </c>
      <c r="AQ338" t="s">
        <v>69</v>
      </c>
      <c r="AR338">
        <v>26</v>
      </c>
      <c r="AS338">
        <v>8</v>
      </c>
      <c r="AT338">
        <v>3.5349999999999999E-2</v>
      </c>
      <c r="AU338">
        <v>-8.3400000000000002E-3</v>
      </c>
      <c r="AV338">
        <v>0.12834999999999999</v>
      </c>
      <c r="AW338">
        <v>-2.911E-2</v>
      </c>
      <c r="AX338">
        <v>1.179E-2</v>
      </c>
      <c r="AY338">
        <v>-2.7799999999999999E-3</v>
      </c>
      <c r="AZ338">
        <v>9.1840000000000005E-2</v>
      </c>
      <c r="BA338">
        <v>1</v>
      </c>
      <c r="BB338" t="s">
        <v>70</v>
      </c>
      <c r="BC338">
        <v>1.258</v>
      </c>
      <c r="BD338">
        <v>1.022</v>
      </c>
      <c r="BE338" t="s">
        <v>71</v>
      </c>
    </row>
    <row r="339" spans="1:57">
      <c r="A339">
        <v>972</v>
      </c>
      <c r="B339" t="s">
        <v>1084</v>
      </c>
      <c r="D339" t="s">
        <v>60</v>
      </c>
      <c r="E339" t="s">
        <v>1085</v>
      </c>
      <c r="F339" t="s">
        <v>74</v>
      </c>
      <c r="G339">
        <v>35</v>
      </c>
      <c r="H339" t="s">
        <v>63</v>
      </c>
      <c r="I339">
        <v>5</v>
      </c>
      <c r="J339" t="str">
        <f>HYPERLINK("Gene972-zp_tree_all.dnd", "Gene972-tree")</f>
        <v>Gene972-tree</v>
      </c>
      <c r="K339">
        <v>3</v>
      </c>
      <c r="L339">
        <v>2</v>
      </c>
      <c r="M339">
        <v>2</v>
      </c>
      <c r="N339">
        <v>2</v>
      </c>
      <c r="O339">
        <v>0.5</v>
      </c>
      <c r="P339" t="s">
        <v>185</v>
      </c>
      <c r="Q339" t="s">
        <v>124</v>
      </c>
      <c r="R339" t="s">
        <v>66</v>
      </c>
      <c r="S339" t="s">
        <v>66</v>
      </c>
      <c r="T339">
        <v>0</v>
      </c>
      <c r="U339">
        <v>0</v>
      </c>
      <c r="V339">
        <v>2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2</v>
      </c>
      <c r="AI339">
        <v>1</v>
      </c>
      <c r="AJ339">
        <v>1</v>
      </c>
      <c r="AK339">
        <v>1</v>
      </c>
      <c r="AL339">
        <v>0</v>
      </c>
      <c r="AM339">
        <v>1</v>
      </c>
      <c r="AN339" t="s">
        <v>1086</v>
      </c>
      <c r="AO339" t="s">
        <v>68</v>
      </c>
      <c r="AP339">
        <v>0.70699999999999996</v>
      </c>
      <c r="AQ339" t="s">
        <v>69</v>
      </c>
      <c r="AR339">
        <v>1</v>
      </c>
      <c r="AS339">
        <v>2</v>
      </c>
      <c r="AT339">
        <v>1.5869999999999999E-2</v>
      </c>
      <c r="AU339">
        <v>-2.8999999999999998E-3</v>
      </c>
      <c r="AV339">
        <v>2.4400000000000002E-2</v>
      </c>
      <c r="AW339">
        <v>-9.9600000000000001E-3</v>
      </c>
      <c r="AX339">
        <v>1.409E-2</v>
      </c>
      <c r="AY339">
        <v>-2.47E-3</v>
      </c>
      <c r="AZ339">
        <v>0.57764000000000004</v>
      </c>
      <c r="BA339">
        <v>0.51700000000000002</v>
      </c>
      <c r="BB339" t="s">
        <v>188</v>
      </c>
      <c r="BC339">
        <v>-0.17499999999999999</v>
      </c>
      <c r="BD339">
        <v>-0.17499999999999999</v>
      </c>
      <c r="BE339" t="s">
        <v>71</v>
      </c>
    </row>
    <row r="340" spans="1:57">
      <c r="A340">
        <v>989</v>
      </c>
      <c r="B340" t="s">
        <v>1096</v>
      </c>
      <c r="D340" t="s">
        <v>60</v>
      </c>
      <c r="E340" t="s">
        <v>1097</v>
      </c>
      <c r="F340" t="s">
        <v>74</v>
      </c>
      <c r="G340">
        <v>117</v>
      </c>
      <c r="H340" t="s">
        <v>63</v>
      </c>
      <c r="I340">
        <v>5</v>
      </c>
      <c r="J340" t="str">
        <f>HYPERLINK("Gene989-zp_tree_all.dnd", "Gene989-tree")</f>
        <v>Gene989-tree</v>
      </c>
      <c r="K340">
        <v>4</v>
      </c>
      <c r="L340">
        <v>1</v>
      </c>
      <c r="M340">
        <v>4</v>
      </c>
      <c r="N340">
        <v>1</v>
      </c>
      <c r="O340">
        <v>0.2</v>
      </c>
      <c r="P340" t="s">
        <v>64</v>
      </c>
      <c r="Q340" t="s">
        <v>65</v>
      </c>
      <c r="R340" t="s">
        <v>66</v>
      </c>
      <c r="S340" t="s">
        <v>66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4</v>
      </c>
      <c r="AI340">
        <v>1</v>
      </c>
      <c r="AJ340">
        <v>7</v>
      </c>
      <c r="AK340">
        <v>1</v>
      </c>
      <c r="AL340">
        <v>8</v>
      </c>
      <c r="AM340">
        <v>0</v>
      </c>
      <c r="AN340" t="s">
        <v>1098</v>
      </c>
      <c r="AO340" t="s">
        <v>68</v>
      </c>
      <c r="AP340">
        <v>0.61899999999999999</v>
      </c>
      <c r="AQ340" t="s">
        <v>69</v>
      </c>
      <c r="AR340">
        <v>15</v>
      </c>
      <c r="AS340">
        <v>1</v>
      </c>
      <c r="AT340">
        <v>2.299E-2</v>
      </c>
      <c r="AU340">
        <v>-4.3200000000000001E-3</v>
      </c>
      <c r="AV340">
        <v>0.11996</v>
      </c>
      <c r="AW340">
        <v>-2.3189999999999999E-2</v>
      </c>
      <c r="AX340">
        <v>1.4499999999999999E-3</v>
      </c>
      <c r="AY340">
        <v>-5.5999999999999995E-4</v>
      </c>
      <c r="AZ340">
        <v>1.205E-2</v>
      </c>
      <c r="BA340">
        <v>1</v>
      </c>
      <c r="BB340" t="s">
        <v>70</v>
      </c>
      <c r="BC340">
        <v>0.30499999999999999</v>
      </c>
      <c r="BD340">
        <v>0.30499999999999999</v>
      </c>
      <c r="BE340" t="s">
        <v>71</v>
      </c>
    </row>
    <row r="341" spans="1:57">
      <c r="A341">
        <v>1007</v>
      </c>
      <c r="B341" t="s">
        <v>1101</v>
      </c>
      <c r="D341" t="s">
        <v>60</v>
      </c>
      <c r="E341" t="s">
        <v>1102</v>
      </c>
      <c r="F341" t="s">
        <v>74</v>
      </c>
      <c r="G341">
        <v>113</v>
      </c>
      <c r="H341" t="s">
        <v>63</v>
      </c>
      <c r="I341">
        <v>5</v>
      </c>
      <c r="J341" t="str">
        <f>HYPERLINK("Gene1007-zp_tree_all.dnd", "Gene1007-tree")</f>
        <v>Gene1007-tree</v>
      </c>
      <c r="K341">
        <v>4</v>
      </c>
      <c r="L341">
        <v>1</v>
      </c>
      <c r="M341">
        <v>4</v>
      </c>
      <c r="N341">
        <v>1</v>
      </c>
      <c r="O341">
        <v>0.2</v>
      </c>
      <c r="P341" t="s">
        <v>64</v>
      </c>
      <c r="Q341" t="s">
        <v>65</v>
      </c>
      <c r="R341" t="s">
        <v>66</v>
      </c>
      <c r="S341" t="s">
        <v>66</v>
      </c>
      <c r="T341">
        <v>0</v>
      </c>
      <c r="U341">
        <v>0</v>
      </c>
      <c r="V341">
        <v>4</v>
      </c>
      <c r="W341">
        <v>0</v>
      </c>
      <c r="X341">
        <v>0</v>
      </c>
      <c r="Y341">
        <v>0</v>
      </c>
      <c r="Z341">
        <v>0</v>
      </c>
      <c r="AA341">
        <v>3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4</v>
      </c>
      <c r="AI341">
        <v>1</v>
      </c>
      <c r="AJ341">
        <v>7</v>
      </c>
      <c r="AK341">
        <v>1</v>
      </c>
      <c r="AL341">
        <v>3</v>
      </c>
      <c r="AM341">
        <v>3</v>
      </c>
      <c r="AN341" t="s">
        <v>1103</v>
      </c>
      <c r="AO341" t="s">
        <v>1104</v>
      </c>
      <c r="AP341">
        <v>3.891</v>
      </c>
      <c r="AQ341" t="s">
        <v>69</v>
      </c>
      <c r="AR341">
        <v>10</v>
      </c>
      <c r="AS341">
        <v>4</v>
      </c>
      <c r="AT341">
        <v>2.0060000000000001E-2</v>
      </c>
      <c r="AU341">
        <v>-3.2799999999999999E-3</v>
      </c>
      <c r="AV341">
        <v>6.8159999999999998E-2</v>
      </c>
      <c r="AW341">
        <v>-9.4500000000000001E-3</v>
      </c>
      <c r="AX341">
        <v>8.2900000000000005E-3</v>
      </c>
      <c r="AY341">
        <v>-1.98E-3</v>
      </c>
      <c r="AZ341">
        <v>0.12157999999999999</v>
      </c>
      <c r="BA341">
        <v>0.98</v>
      </c>
      <c r="BB341" t="s">
        <v>70</v>
      </c>
      <c r="BC341">
        <v>8.6999999999999994E-2</v>
      </c>
      <c r="BD341">
        <v>8.6999999999999994E-2</v>
      </c>
      <c r="BE341" t="s">
        <v>71</v>
      </c>
    </row>
    <row r="342" spans="1:57">
      <c r="A342">
        <v>1010</v>
      </c>
      <c r="B342" t="s">
        <v>1112</v>
      </c>
      <c r="D342" t="s">
        <v>60</v>
      </c>
      <c r="E342" t="s">
        <v>1113</v>
      </c>
      <c r="F342" t="s">
        <v>74</v>
      </c>
      <c r="G342">
        <v>63</v>
      </c>
      <c r="H342" t="s">
        <v>63</v>
      </c>
      <c r="I342">
        <v>5</v>
      </c>
      <c r="J342" t="str">
        <f>HYPERLINK("Gene1010-zp_tree_all.dnd", "Gene1010-tree")</f>
        <v>Gene1010-tree</v>
      </c>
      <c r="K342">
        <v>2</v>
      </c>
      <c r="L342">
        <v>3</v>
      </c>
      <c r="M342">
        <v>2</v>
      </c>
      <c r="N342">
        <v>3</v>
      </c>
      <c r="O342">
        <v>0.6</v>
      </c>
      <c r="P342" t="s">
        <v>124</v>
      </c>
      <c r="Q342" t="s">
        <v>86</v>
      </c>
      <c r="R342" t="s">
        <v>66</v>
      </c>
      <c r="S342" t="s">
        <v>66</v>
      </c>
      <c r="T342">
        <v>1</v>
      </c>
      <c r="U342">
        <v>2</v>
      </c>
      <c r="V342">
        <v>3</v>
      </c>
      <c r="W342">
        <v>0.4</v>
      </c>
      <c r="X342">
        <v>0</v>
      </c>
      <c r="Y342">
        <v>0</v>
      </c>
      <c r="Z342">
        <v>0</v>
      </c>
      <c r="AA342">
        <v>3</v>
      </c>
      <c r="AB342">
        <v>0</v>
      </c>
      <c r="AC342">
        <v>0</v>
      </c>
      <c r="AD342">
        <v>0</v>
      </c>
      <c r="AE342">
        <v>0</v>
      </c>
      <c r="AF342">
        <v>2</v>
      </c>
      <c r="AG342">
        <v>0</v>
      </c>
      <c r="AH342">
        <v>4</v>
      </c>
      <c r="AI342">
        <v>2</v>
      </c>
      <c r="AJ342">
        <v>5</v>
      </c>
      <c r="AK342">
        <v>2</v>
      </c>
      <c r="AL342">
        <v>2</v>
      </c>
      <c r="AM342">
        <v>3</v>
      </c>
      <c r="AN342" t="s">
        <v>1114</v>
      </c>
      <c r="AO342" t="s">
        <v>1115</v>
      </c>
      <c r="AP342">
        <v>3.5830000000000002</v>
      </c>
      <c r="AQ342" t="s">
        <v>69</v>
      </c>
      <c r="AR342">
        <v>7</v>
      </c>
      <c r="AS342">
        <v>5</v>
      </c>
      <c r="AT342">
        <v>2.8570000000000002E-2</v>
      </c>
      <c r="AU342">
        <v>-3.0999999999999999E-3</v>
      </c>
      <c r="AV342">
        <v>6.7570000000000005E-2</v>
      </c>
      <c r="AW342">
        <v>-8.4799999999999997E-3</v>
      </c>
      <c r="AX342">
        <v>1.602E-2</v>
      </c>
      <c r="AY342">
        <v>-2.5000000000000001E-3</v>
      </c>
      <c r="AZ342">
        <v>0.23713000000000001</v>
      </c>
      <c r="BA342">
        <v>0.93799999999999994</v>
      </c>
      <c r="BB342" t="s">
        <v>188</v>
      </c>
      <c r="BC342">
        <v>0.16400000000000001</v>
      </c>
      <c r="BD342">
        <v>0.16400000000000001</v>
      </c>
      <c r="BE342" t="s">
        <v>71</v>
      </c>
    </row>
    <row r="343" spans="1:57">
      <c r="A343">
        <v>1014</v>
      </c>
      <c r="B343" t="s">
        <v>1116</v>
      </c>
      <c r="D343" t="s">
        <v>60</v>
      </c>
      <c r="E343" t="s">
        <v>1117</v>
      </c>
      <c r="F343" t="s">
        <v>560</v>
      </c>
      <c r="G343">
        <v>247</v>
      </c>
      <c r="H343" t="s">
        <v>63</v>
      </c>
      <c r="I343">
        <v>5</v>
      </c>
      <c r="J343" t="str">
        <f>HYPERLINK("Gene1014-zp_tree_all.dnd", "Gene1014-tree")</f>
        <v>Gene1014-tree</v>
      </c>
      <c r="K343">
        <v>4</v>
      </c>
      <c r="L343">
        <v>1</v>
      </c>
      <c r="M343">
        <v>4</v>
      </c>
      <c r="N343">
        <v>1</v>
      </c>
      <c r="O343">
        <v>0.2</v>
      </c>
      <c r="P343" t="s">
        <v>64</v>
      </c>
      <c r="Q343" t="s">
        <v>65</v>
      </c>
      <c r="R343" t="s">
        <v>66</v>
      </c>
      <c r="S343" t="s">
        <v>66</v>
      </c>
      <c r="T343">
        <v>0</v>
      </c>
      <c r="U343">
        <v>0</v>
      </c>
      <c r="V343">
        <v>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2</v>
      </c>
      <c r="AG343">
        <v>0</v>
      </c>
      <c r="AH343">
        <v>5</v>
      </c>
      <c r="AI343">
        <v>2</v>
      </c>
      <c r="AJ343">
        <v>20</v>
      </c>
      <c r="AK343">
        <v>3</v>
      </c>
      <c r="AL343">
        <v>23</v>
      </c>
      <c r="AM343">
        <v>0</v>
      </c>
      <c r="AN343" t="s">
        <v>1118</v>
      </c>
      <c r="AO343" t="s">
        <v>68</v>
      </c>
      <c r="AP343">
        <v>0.52200000000000002</v>
      </c>
      <c r="AQ343" t="s">
        <v>69</v>
      </c>
      <c r="AR343">
        <v>43</v>
      </c>
      <c r="AS343">
        <v>3</v>
      </c>
      <c r="AT343">
        <v>3.0089999999999999E-2</v>
      </c>
      <c r="AU343">
        <v>-4.7400000000000003E-3</v>
      </c>
      <c r="AV343">
        <v>0.13667000000000001</v>
      </c>
      <c r="AW343">
        <v>-2.2440000000000002E-2</v>
      </c>
      <c r="AX343">
        <v>2.1199999999999999E-3</v>
      </c>
      <c r="AY343">
        <v>-8.1999999999999998E-4</v>
      </c>
      <c r="AZ343">
        <v>1.5509999999999999E-2</v>
      </c>
      <c r="BA343">
        <v>1</v>
      </c>
      <c r="BB343" t="s">
        <v>70</v>
      </c>
      <c r="BC343">
        <v>0.42099999999999999</v>
      </c>
      <c r="BD343">
        <v>0.24299999999999999</v>
      </c>
      <c r="BE343" t="s">
        <v>71</v>
      </c>
    </row>
    <row r="344" spans="1:57">
      <c r="A344">
        <v>1022</v>
      </c>
      <c r="B344" t="s">
        <v>1119</v>
      </c>
      <c r="D344" t="s">
        <v>60</v>
      </c>
      <c r="E344" t="s">
        <v>1120</v>
      </c>
      <c r="F344" t="s">
        <v>1121</v>
      </c>
      <c r="G344">
        <v>353</v>
      </c>
      <c r="H344" t="s">
        <v>85</v>
      </c>
      <c r="I344">
        <v>4</v>
      </c>
      <c r="J344" t="str">
        <f>HYPERLINK("Gene1022-zp_tree_all.dnd", "Gene1022-tree")</f>
        <v>Gene1022-tree</v>
      </c>
      <c r="K344">
        <v>0</v>
      </c>
      <c r="L344">
        <v>4</v>
      </c>
      <c r="M344">
        <v>0</v>
      </c>
      <c r="N344">
        <v>4</v>
      </c>
      <c r="O344">
        <v>1</v>
      </c>
      <c r="P344" t="s">
        <v>66</v>
      </c>
      <c r="Q344" t="s">
        <v>64</v>
      </c>
      <c r="R344" t="s">
        <v>66</v>
      </c>
      <c r="S344" t="s">
        <v>66</v>
      </c>
      <c r="T344">
        <v>0</v>
      </c>
      <c r="U344">
        <v>0</v>
      </c>
      <c r="V344">
        <v>12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12</v>
      </c>
      <c r="AG344">
        <v>0</v>
      </c>
      <c r="AH344">
        <v>4</v>
      </c>
      <c r="AI344">
        <v>1</v>
      </c>
      <c r="AJ344">
        <v>48</v>
      </c>
      <c r="AK344">
        <v>9</v>
      </c>
      <c r="AL344">
        <v>8</v>
      </c>
      <c r="AM344">
        <v>3</v>
      </c>
      <c r="AN344" t="s">
        <v>1122</v>
      </c>
      <c r="AO344" t="s">
        <v>1123</v>
      </c>
      <c r="AP344">
        <v>1.2749999999999999</v>
      </c>
      <c r="AQ344" t="s">
        <v>69</v>
      </c>
      <c r="AR344">
        <v>56</v>
      </c>
      <c r="AS344">
        <v>12</v>
      </c>
      <c r="AT344">
        <v>3.2259999999999997E-2</v>
      </c>
      <c r="AU344">
        <v>-6.43E-3</v>
      </c>
      <c r="AV344">
        <v>0.12711</v>
      </c>
      <c r="AW344">
        <v>-3.032E-2</v>
      </c>
      <c r="AX344">
        <v>8.0099999999999998E-3</v>
      </c>
      <c r="AY344">
        <v>-9.6000000000000002E-4</v>
      </c>
      <c r="AZ344">
        <v>6.3039999999999999E-2</v>
      </c>
      <c r="BA344">
        <v>1</v>
      </c>
      <c r="BB344" t="s">
        <v>70</v>
      </c>
      <c r="BC344">
        <v>-0.06</v>
      </c>
      <c r="BD344">
        <v>-0.66700000000000004</v>
      </c>
      <c r="BE344" t="s">
        <v>71</v>
      </c>
    </row>
    <row r="345" spans="1:57">
      <c r="A345">
        <v>1033</v>
      </c>
      <c r="B345" t="s">
        <v>1127</v>
      </c>
      <c r="D345" t="s">
        <v>60</v>
      </c>
      <c r="E345" t="s">
        <v>1128</v>
      </c>
      <c r="F345" t="s">
        <v>74</v>
      </c>
      <c r="G345">
        <v>244</v>
      </c>
      <c r="H345" t="s">
        <v>85</v>
      </c>
      <c r="I345">
        <v>4</v>
      </c>
      <c r="J345" t="str">
        <f>HYPERLINK("Gene1033-zp_tree_all.dnd", "Gene1033-tree")</f>
        <v>Gene1033-tree</v>
      </c>
      <c r="K345">
        <v>2</v>
      </c>
      <c r="L345">
        <v>2</v>
      </c>
      <c r="M345">
        <v>2</v>
      </c>
      <c r="N345">
        <v>2</v>
      </c>
      <c r="O345">
        <v>0.5</v>
      </c>
      <c r="P345" t="s">
        <v>124</v>
      </c>
      <c r="Q345" t="s">
        <v>124</v>
      </c>
      <c r="R345" t="s">
        <v>66</v>
      </c>
      <c r="S345" t="s">
        <v>66</v>
      </c>
      <c r="T345">
        <v>0</v>
      </c>
      <c r="U345">
        <v>0</v>
      </c>
      <c r="V345">
        <v>8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8</v>
      </c>
      <c r="AG345">
        <v>0</v>
      </c>
      <c r="AH345">
        <v>4</v>
      </c>
      <c r="AI345">
        <v>1</v>
      </c>
      <c r="AJ345">
        <v>31</v>
      </c>
      <c r="AK345">
        <v>8</v>
      </c>
      <c r="AL345">
        <v>1</v>
      </c>
      <c r="AM345">
        <v>0</v>
      </c>
      <c r="AN345" t="s">
        <v>1129</v>
      </c>
      <c r="AO345" t="s">
        <v>68</v>
      </c>
      <c r="AP345">
        <v>0.53800000000000003</v>
      </c>
      <c r="AQ345" t="s">
        <v>69</v>
      </c>
      <c r="AR345">
        <v>32</v>
      </c>
      <c r="AS345">
        <v>8</v>
      </c>
      <c r="AT345">
        <v>2.7089999999999999E-2</v>
      </c>
      <c r="AU345">
        <v>-7.7499999999999999E-3</v>
      </c>
      <c r="AV345">
        <v>9.9379999999999996E-2</v>
      </c>
      <c r="AW345">
        <v>-2.8139999999999998E-2</v>
      </c>
      <c r="AX345">
        <v>7.2500000000000004E-3</v>
      </c>
      <c r="AY345">
        <v>-2.49E-3</v>
      </c>
      <c r="AZ345">
        <v>7.2900000000000006E-2</v>
      </c>
      <c r="BA345">
        <v>1</v>
      </c>
      <c r="BB345" t="s">
        <v>70</v>
      </c>
      <c r="BC345">
        <v>-0.70199999999999996</v>
      </c>
      <c r="BD345">
        <v>-0.70199999999999996</v>
      </c>
      <c r="BE345" t="s">
        <v>71</v>
      </c>
    </row>
    <row r="346" spans="1:57">
      <c r="A346">
        <v>1057</v>
      </c>
      <c r="B346" t="s">
        <v>1142</v>
      </c>
      <c r="D346" t="s">
        <v>60</v>
      </c>
      <c r="E346" t="s">
        <v>1143</v>
      </c>
      <c r="F346" t="s">
        <v>74</v>
      </c>
      <c r="G346">
        <v>207</v>
      </c>
      <c r="H346" t="s">
        <v>63</v>
      </c>
      <c r="I346">
        <v>5</v>
      </c>
      <c r="J346" t="str">
        <f>HYPERLINK("Gene1057-zp_tree_all.dnd", "Gene1057-tree")</f>
        <v>Gene1057-tree</v>
      </c>
      <c r="K346">
        <v>3</v>
      </c>
      <c r="L346">
        <v>2</v>
      </c>
      <c r="M346">
        <v>3</v>
      </c>
      <c r="N346">
        <v>2</v>
      </c>
      <c r="O346">
        <v>0.4</v>
      </c>
      <c r="P346" t="s">
        <v>86</v>
      </c>
      <c r="Q346" t="s">
        <v>124</v>
      </c>
      <c r="R346" t="s">
        <v>66</v>
      </c>
      <c r="S346" t="s">
        <v>66</v>
      </c>
      <c r="T346">
        <v>1</v>
      </c>
      <c r="U346">
        <v>2</v>
      </c>
      <c r="V346">
        <v>6</v>
      </c>
      <c r="W346">
        <v>0.25</v>
      </c>
      <c r="X346">
        <v>0</v>
      </c>
      <c r="Y346">
        <v>0</v>
      </c>
      <c r="Z346">
        <v>0</v>
      </c>
      <c r="AA346">
        <v>3</v>
      </c>
      <c r="AB346">
        <v>0</v>
      </c>
      <c r="AC346">
        <v>0</v>
      </c>
      <c r="AD346">
        <v>0</v>
      </c>
      <c r="AE346">
        <v>0</v>
      </c>
      <c r="AF346">
        <v>5</v>
      </c>
      <c r="AG346">
        <v>0</v>
      </c>
      <c r="AH346">
        <v>4</v>
      </c>
      <c r="AI346">
        <v>2</v>
      </c>
      <c r="AJ346">
        <v>18</v>
      </c>
      <c r="AK346">
        <v>5</v>
      </c>
      <c r="AL346">
        <v>18</v>
      </c>
      <c r="AM346">
        <v>3</v>
      </c>
      <c r="AN346" t="s">
        <v>1144</v>
      </c>
      <c r="AO346" t="s">
        <v>1145</v>
      </c>
      <c r="AP346">
        <v>0.33700000000000002</v>
      </c>
      <c r="AQ346" t="s">
        <v>69</v>
      </c>
      <c r="AR346">
        <v>36</v>
      </c>
      <c r="AS346">
        <v>8</v>
      </c>
      <c r="AT346">
        <v>3.3980000000000003E-2</v>
      </c>
      <c r="AU346">
        <v>-5.8799999999999998E-3</v>
      </c>
      <c r="AV346">
        <v>0.12834999999999999</v>
      </c>
      <c r="AW346">
        <v>-2.282E-2</v>
      </c>
      <c r="AX346">
        <v>7.7400000000000004E-3</v>
      </c>
      <c r="AY346">
        <v>-1.6999999999999999E-3</v>
      </c>
      <c r="AZ346">
        <v>6.0290000000000003E-2</v>
      </c>
      <c r="BA346">
        <v>1</v>
      </c>
      <c r="BB346" t="s">
        <v>70</v>
      </c>
      <c r="BC346">
        <v>0.54300000000000004</v>
      </c>
      <c r="BD346">
        <v>4.5999999999999999E-2</v>
      </c>
      <c r="BE346" t="s">
        <v>71</v>
      </c>
    </row>
    <row r="347" spans="1:57">
      <c r="A347">
        <v>1058</v>
      </c>
      <c r="B347" t="s">
        <v>1146</v>
      </c>
      <c r="D347" t="s">
        <v>60</v>
      </c>
      <c r="E347" t="s">
        <v>1147</v>
      </c>
      <c r="F347" t="s">
        <v>1148</v>
      </c>
      <c r="G347">
        <v>168</v>
      </c>
      <c r="H347" t="s">
        <v>63</v>
      </c>
      <c r="I347">
        <v>5</v>
      </c>
      <c r="J347" t="str">
        <f>HYPERLINK("Gene1058-zp_tree_all.dnd", "Gene1058-tree")</f>
        <v>Gene1058-tree</v>
      </c>
      <c r="K347">
        <v>3</v>
      </c>
      <c r="L347">
        <v>2</v>
      </c>
      <c r="M347">
        <v>3</v>
      </c>
      <c r="N347">
        <v>2</v>
      </c>
      <c r="O347">
        <v>0.4</v>
      </c>
      <c r="P347" t="s">
        <v>86</v>
      </c>
      <c r="Q347" t="s">
        <v>124</v>
      </c>
      <c r="R347" t="s">
        <v>66</v>
      </c>
      <c r="S347" t="s">
        <v>66</v>
      </c>
      <c r="T347">
        <v>0</v>
      </c>
      <c r="U347">
        <v>0</v>
      </c>
      <c r="V347">
        <v>5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5</v>
      </c>
      <c r="AG347">
        <v>0</v>
      </c>
      <c r="AH347">
        <v>4</v>
      </c>
      <c r="AI347">
        <v>1</v>
      </c>
      <c r="AJ347">
        <v>19</v>
      </c>
      <c r="AK347">
        <v>3</v>
      </c>
      <c r="AL347">
        <v>12</v>
      </c>
      <c r="AM347">
        <v>3</v>
      </c>
      <c r="AN347" t="s">
        <v>1149</v>
      </c>
      <c r="AO347" t="s">
        <v>1150</v>
      </c>
      <c r="AP347">
        <v>0.71899999999999997</v>
      </c>
      <c r="AQ347" t="s">
        <v>69</v>
      </c>
      <c r="AR347">
        <v>31</v>
      </c>
      <c r="AS347">
        <v>6</v>
      </c>
      <c r="AT347">
        <v>3.5540000000000002E-2</v>
      </c>
      <c r="AU347">
        <v>-5.9100000000000003E-3</v>
      </c>
      <c r="AV347">
        <v>0.14960999999999999</v>
      </c>
      <c r="AW347">
        <v>-2.5190000000000001E-2</v>
      </c>
      <c r="AX347">
        <v>7.8200000000000006E-3</v>
      </c>
      <c r="AY347">
        <v>-1.6900000000000001E-3</v>
      </c>
      <c r="AZ347">
        <v>5.2249999999999998E-2</v>
      </c>
      <c r="BA347">
        <v>1</v>
      </c>
      <c r="BB347" t="s">
        <v>70</v>
      </c>
      <c r="BC347">
        <v>0.17299999999999999</v>
      </c>
      <c r="BD347">
        <v>-6.8000000000000005E-2</v>
      </c>
      <c r="BE347" t="s">
        <v>71</v>
      </c>
    </row>
    <row r="348" spans="1:57">
      <c r="A348">
        <v>1065</v>
      </c>
      <c r="B348" t="s">
        <v>1160</v>
      </c>
      <c r="D348" t="s">
        <v>60</v>
      </c>
      <c r="E348" t="s">
        <v>1161</v>
      </c>
      <c r="F348" t="s">
        <v>1162</v>
      </c>
      <c r="G348">
        <v>329</v>
      </c>
      <c r="H348" t="s">
        <v>63</v>
      </c>
      <c r="I348">
        <v>5</v>
      </c>
      <c r="J348" t="str">
        <f>HYPERLINK("Gene1065-zp_tree_all.dnd", "Gene1065-tree")</f>
        <v>Gene1065-tree</v>
      </c>
      <c r="K348">
        <v>1</v>
      </c>
      <c r="L348">
        <v>4</v>
      </c>
      <c r="M348">
        <v>1</v>
      </c>
      <c r="N348">
        <v>4</v>
      </c>
      <c r="O348">
        <v>0.8</v>
      </c>
      <c r="P348" t="s">
        <v>65</v>
      </c>
      <c r="Q348" t="s">
        <v>64</v>
      </c>
      <c r="R348" t="s">
        <v>66</v>
      </c>
      <c r="S348" t="s">
        <v>66</v>
      </c>
      <c r="T348">
        <v>2</v>
      </c>
      <c r="U348">
        <v>4</v>
      </c>
      <c r="V348">
        <v>17</v>
      </c>
      <c r="W348">
        <v>0.19048000000000001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4</v>
      </c>
      <c r="AE348">
        <v>4</v>
      </c>
      <c r="AF348">
        <v>17</v>
      </c>
      <c r="AG348">
        <v>0.19048000000000001</v>
      </c>
      <c r="AH348">
        <v>5</v>
      </c>
      <c r="AI348">
        <v>2</v>
      </c>
      <c r="AJ348">
        <v>34</v>
      </c>
      <c r="AK348">
        <v>15</v>
      </c>
      <c r="AL348">
        <v>15</v>
      </c>
      <c r="AM348">
        <v>7</v>
      </c>
      <c r="AN348" t="s">
        <v>1163</v>
      </c>
      <c r="AO348" t="s">
        <v>1164</v>
      </c>
      <c r="AP348">
        <v>7.3999999999999996E-2</v>
      </c>
      <c r="AQ348" t="s">
        <v>69</v>
      </c>
      <c r="AR348">
        <v>49</v>
      </c>
      <c r="AS348">
        <v>22</v>
      </c>
      <c r="AT348">
        <v>3.252E-2</v>
      </c>
      <c r="AU348">
        <v>-4.13E-3</v>
      </c>
      <c r="AV348">
        <v>0.11219999999999999</v>
      </c>
      <c r="AW348">
        <v>-1.401E-2</v>
      </c>
      <c r="AX348">
        <v>1.3469999999999999E-2</v>
      </c>
      <c r="AY348">
        <v>-2.15E-3</v>
      </c>
      <c r="AZ348">
        <v>0.12003</v>
      </c>
      <c r="BA348">
        <v>1</v>
      </c>
      <c r="BB348" t="s">
        <v>70</v>
      </c>
      <c r="BC348">
        <v>-0.14899999999999999</v>
      </c>
      <c r="BD348">
        <v>-0.14899999999999999</v>
      </c>
      <c r="BE348" t="s">
        <v>71</v>
      </c>
    </row>
    <row r="349" spans="1:57">
      <c r="A349">
        <v>1084</v>
      </c>
      <c r="B349" t="s">
        <v>1172</v>
      </c>
      <c r="D349" t="s">
        <v>60</v>
      </c>
      <c r="E349" t="s">
        <v>1173</v>
      </c>
      <c r="F349" t="s">
        <v>74</v>
      </c>
      <c r="G349">
        <v>301</v>
      </c>
      <c r="H349" t="s">
        <v>85</v>
      </c>
      <c r="I349">
        <v>4</v>
      </c>
      <c r="J349" t="str">
        <f>HYPERLINK("Gene1084-zp_tree_all.dnd", "Gene1084-tree")</f>
        <v>Gene1084-tree</v>
      </c>
      <c r="K349">
        <v>1</v>
      </c>
      <c r="L349">
        <v>3</v>
      </c>
      <c r="M349">
        <v>1</v>
      </c>
      <c r="N349">
        <v>3</v>
      </c>
      <c r="O349">
        <v>0.75</v>
      </c>
      <c r="P349" t="s">
        <v>65</v>
      </c>
      <c r="Q349" t="s">
        <v>86</v>
      </c>
      <c r="R349" t="s">
        <v>66</v>
      </c>
      <c r="S349" t="s">
        <v>66</v>
      </c>
      <c r="T349">
        <v>0</v>
      </c>
      <c r="U349">
        <v>0</v>
      </c>
      <c r="V349">
        <v>9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9</v>
      </c>
      <c r="AG349">
        <v>0</v>
      </c>
      <c r="AH349">
        <v>4</v>
      </c>
      <c r="AI349">
        <v>1</v>
      </c>
      <c r="AJ349">
        <v>38</v>
      </c>
      <c r="AK349">
        <v>9</v>
      </c>
      <c r="AL349">
        <v>4</v>
      </c>
      <c r="AM349">
        <v>0</v>
      </c>
      <c r="AN349" t="s">
        <v>1174</v>
      </c>
      <c r="AO349" t="s">
        <v>68</v>
      </c>
      <c r="AP349">
        <v>0.70499999999999996</v>
      </c>
      <c r="AQ349" t="s">
        <v>69</v>
      </c>
      <c r="AR349">
        <v>42</v>
      </c>
      <c r="AS349">
        <v>9</v>
      </c>
      <c r="AT349">
        <v>2.8240000000000001E-2</v>
      </c>
      <c r="AU349">
        <v>-7.6600000000000001E-3</v>
      </c>
      <c r="AV349">
        <v>0.11404</v>
      </c>
      <c r="AW349">
        <v>-3.3329999999999999E-2</v>
      </c>
      <c r="AX349">
        <v>6.4900000000000001E-3</v>
      </c>
      <c r="AY349">
        <v>-1.5499999999999999E-3</v>
      </c>
      <c r="AZ349">
        <v>5.6930000000000001E-2</v>
      </c>
      <c r="BA349">
        <v>1</v>
      </c>
      <c r="BB349" t="s">
        <v>70</v>
      </c>
      <c r="BC349">
        <v>-0.47799999999999998</v>
      </c>
      <c r="BD349">
        <v>-0.47799999999999998</v>
      </c>
      <c r="BE349" t="s">
        <v>71</v>
      </c>
    </row>
    <row r="350" spans="1:57">
      <c r="A350">
        <v>1085</v>
      </c>
      <c r="B350" t="s">
        <v>1175</v>
      </c>
      <c r="D350" t="s">
        <v>60</v>
      </c>
      <c r="E350" t="s">
        <v>1176</v>
      </c>
      <c r="F350" t="s">
        <v>74</v>
      </c>
      <c r="G350">
        <v>118</v>
      </c>
      <c r="H350" t="s">
        <v>63</v>
      </c>
      <c r="I350">
        <v>5</v>
      </c>
      <c r="J350" t="str">
        <f>HYPERLINK("Gene1085-zp_tree_all.dnd", "Gene1085-tree")</f>
        <v>Gene1085-tree</v>
      </c>
      <c r="K350">
        <v>3</v>
      </c>
      <c r="L350">
        <v>2</v>
      </c>
      <c r="M350">
        <v>3</v>
      </c>
      <c r="N350">
        <v>2</v>
      </c>
      <c r="O350">
        <v>0.4</v>
      </c>
      <c r="P350" t="s">
        <v>86</v>
      </c>
      <c r="Q350" t="s">
        <v>124</v>
      </c>
      <c r="R350" t="s">
        <v>66</v>
      </c>
      <c r="S350" t="s">
        <v>66</v>
      </c>
      <c r="T350">
        <v>0</v>
      </c>
      <c r="U350">
        <v>0</v>
      </c>
      <c r="V350">
        <v>5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5</v>
      </c>
      <c r="AG350">
        <v>0</v>
      </c>
      <c r="AH350">
        <v>3</v>
      </c>
      <c r="AI350">
        <v>2</v>
      </c>
      <c r="AJ350">
        <v>10</v>
      </c>
      <c r="AK350">
        <v>2</v>
      </c>
      <c r="AL350">
        <v>5</v>
      </c>
      <c r="AM350">
        <v>3</v>
      </c>
      <c r="AN350" t="s">
        <v>1177</v>
      </c>
      <c r="AO350" t="s">
        <v>1178</v>
      </c>
      <c r="AP350">
        <v>0.68500000000000005</v>
      </c>
      <c r="AQ350" t="s">
        <v>69</v>
      </c>
      <c r="AR350">
        <v>15</v>
      </c>
      <c r="AS350">
        <v>5</v>
      </c>
      <c r="AT350">
        <v>2.7119999999999998E-2</v>
      </c>
      <c r="AU350">
        <v>-4.9300000000000004E-3</v>
      </c>
      <c r="AV350">
        <v>8.4290000000000004E-2</v>
      </c>
      <c r="AW350">
        <v>-1.469E-2</v>
      </c>
      <c r="AX350">
        <v>9.92E-3</v>
      </c>
      <c r="AY350">
        <v>-2.1700000000000001E-3</v>
      </c>
      <c r="AZ350">
        <v>0.11767</v>
      </c>
      <c r="BA350">
        <v>1</v>
      </c>
      <c r="BB350" t="s">
        <v>70</v>
      </c>
      <c r="BC350">
        <v>0</v>
      </c>
      <c r="BD350">
        <v>0</v>
      </c>
      <c r="BE350" t="s">
        <v>71</v>
      </c>
    </row>
    <row r="351" spans="1:57">
      <c r="A351">
        <v>1092</v>
      </c>
      <c r="B351" t="s">
        <v>1179</v>
      </c>
      <c r="D351" t="s">
        <v>60</v>
      </c>
      <c r="E351" t="s">
        <v>1180</v>
      </c>
      <c r="F351" t="s">
        <v>768</v>
      </c>
      <c r="G351">
        <v>287</v>
      </c>
      <c r="H351" t="s">
        <v>63</v>
      </c>
      <c r="I351">
        <v>5</v>
      </c>
      <c r="J351" t="str">
        <f>HYPERLINK("Gene1092-zp_tree_all.dnd", "Gene1092-tree")</f>
        <v>Gene1092-tree</v>
      </c>
      <c r="K351">
        <v>0</v>
      </c>
      <c r="L351">
        <v>5</v>
      </c>
      <c r="M351">
        <v>0</v>
      </c>
      <c r="N351">
        <v>5</v>
      </c>
      <c r="O351">
        <v>1</v>
      </c>
      <c r="P351" t="s">
        <v>66</v>
      </c>
      <c r="Q351" t="s">
        <v>96</v>
      </c>
      <c r="R351" t="s">
        <v>66</v>
      </c>
      <c r="S351" t="s">
        <v>66</v>
      </c>
      <c r="T351">
        <v>0</v>
      </c>
      <c r="U351">
        <v>0</v>
      </c>
      <c r="V351">
        <v>8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8</v>
      </c>
      <c r="AG351">
        <v>0</v>
      </c>
      <c r="AH351">
        <v>5</v>
      </c>
      <c r="AI351">
        <v>1</v>
      </c>
      <c r="AJ351">
        <v>34</v>
      </c>
      <c r="AK351">
        <v>6</v>
      </c>
      <c r="AL351">
        <v>22</v>
      </c>
      <c r="AM351">
        <v>2</v>
      </c>
      <c r="AN351" t="s">
        <v>1181</v>
      </c>
      <c r="AO351" t="s">
        <v>1182</v>
      </c>
      <c r="AP351">
        <v>1.524</v>
      </c>
      <c r="AQ351" t="s">
        <v>69</v>
      </c>
      <c r="AR351">
        <v>56</v>
      </c>
      <c r="AS351">
        <v>8</v>
      </c>
      <c r="AT351">
        <v>3.3680000000000002E-2</v>
      </c>
      <c r="AU351">
        <v>-5.6600000000000001E-3</v>
      </c>
      <c r="AV351">
        <v>0.14648</v>
      </c>
      <c r="AW351">
        <v>-2.6839999999999999E-2</v>
      </c>
      <c r="AX351">
        <v>5.4400000000000004E-3</v>
      </c>
      <c r="AY351">
        <v>-5.8E-4</v>
      </c>
      <c r="AZ351">
        <v>3.7159999999999999E-2</v>
      </c>
      <c r="BA351">
        <v>1</v>
      </c>
      <c r="BB351" t="s">
        <v>70</v>
      </c>
      <c r="BC351">
        <v>0.182</v>
      </c>
      <c r="BD351">
        <v>-8.5000000000000006E-2</v>
      </c>
      <c r="BE351" t="s">
        <v>71</v>
      </c>
    </row>
    <row r="352" spans="1:57">
      <c r="A352">
        <v>1121</v>
      </c>
      <c r="B352" t="s">
        <v>1183</v>
      </c>
      <c r="D352" t="s">
        <v>60</v>
      </c>
      <c r="E352" t="s">
        <v>1184</v>
      </c>
      <c r="F352" t="s">
        <v>74</v>
      </c>
      <c r="G352">
        <v>280</v>
      </c>
      <c r="H352" t="s">
        <v>63</v>
      </c>
      <c r="I352">
        <v>5</v>
      </c>
      <c r="J352" t="str">
        <f>HYPERLINK("Gene1121-zp_tree_all.dnd", "Gene1121-tree")</f>
        <v>Gene1121-tree</v>
      </c>
      <c r="K352">
        <v>4</v>
      </c>
      <c r="L352">
        <v>1</v>
      </c>
      <c r="M352">
        <v>3</v>
      </c>
      <c r="N352">
        <v>1</v>
      </c>
      <c r="O352">
        <v>0.25</v>
      </c>
      <c r="P352" t="s">
        <v>112</v>
      </c>
      <c r="Q352" t="s">
        <v>65</v>
      </c>
      <c r="R352" t="s">
        <v>66</v>
      </c>
      <c r="S352" t="s">
        <v>66</v>
      </c>
      <c r="T352">
        <v>0</v>
      </c>
      <c r="U352">
        <v>0</v>
      </c>
      <c r="V352">
        <v>3</v>
      </c>
      <c r="W352">
        <v>0</v>
      </c>
      <c r="X352">
        <v>0</v>
      </c>
      <c r="Y352">
        <v>0</v>
      </c>
      <c r="Z352">
        <v>0</v>
      </c>
      <c r="AA352">
        <v>2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4</v>
      </c>
      <c r="AI352">
        <v>1</v>
      </c>
      <c r="AJ352">
        <v>32</v>
      </c>
      <c r="AK352">
        <v>1</v>
      </c>
      <c r="AL352">
        <v>16</v>
      </c>
      <c r="AM352">
        <v>2</v>
      </c>
      <c r="AN352" t="s">
        <v>1185</v>
      </c>
      <c r="AO352" t="s">
        <v>1186</v>
      </c>
      <c r="AP352">
        <v>1.8979999999999999</v>
      </c>
      <c r="AQ352" t="s">
        <v>69</v>
      </c>
      <c r="AR352">
        <v>48</v>
      </c>
      <c r="AS352">
        <v>3</v>
      </c>
      <c r="AT352">
        <v>3.2539999999999999E-2</v>
      </c>
      <c r="AU352">
        <v>-4.0299999999999997E-3</v>
      </c>
      <c r="AV352">
        <v>0.13639000000000001</v>
      </c>
      <c r="AW352">
        <v>-1.6910000000000001E-2</v>
      </c>
      <c r="AX352">
        <v>2.8999999999999998E-3</v>
      </c>
      <c r="AY352">
        <v>-4.8999999999999998E-4</v>
      </c>
      <c r="AZ352">
        <v>2.1260000000000001E-2</v>
      </c>
      <c r="BA352">
        <v>1</v>
      </c>
      <c r="BB352" t="s">
        <v>70</v>
      </c>
      <c r="BC352">
        <v>0.61499999999999999</v>
      </c>
      <c r="BD352">
        <v>1.2999999999999999E-2</v>
      </c>
      <c r="BE352" t="s">
        <v>71</v>
      </c>
    </row>
    <row r="353" spans="1:57">
      <c r="A353">
        <v>1141</v>
      </c>
      <c r="B353" t="s">
        <v>1193</v>
      </c>
      <c r="D353" t="s">
        <v>60</v>
      </c>
      <c r="E353" t="s">
        <v>1194</v>
      </c>
      <c r="F353" t="s">
        <v>1195</v>
      </c>
      <c r="G353">
        <v>63</v>
      </c>
      <c r="H353" t="s">
        <v>63</v>
      </c>
      <c r="I353">
        <v>5</v>
      </c>
      <c r="J353" t="str">
        <f>HYPERLINK("Gene1141-zp_tree_all.dnd", "Gene1141-tree")</f>
        <v>Gene1141-tree</v>
      </c>
      <c r="K353">
        <v>5</v>
      </c>
      <c r="L353">
        <v>0</v>
      </c>
      <c r="M353">
        <v>4</v>
      </c>
      <c r="N353">
        <v>0</v>
      </c>
      <c r="O353">
        <v>0</v>
      </c>
      <c r="P353" t="s">
        <v>135</v>
      </c>
      <c r="Q353" t="s">
        <v>66</v>
      </c>
      <c r="R353" t="s">
        <v>66</v>
      </c>
      <c r="S353" t="s">
        <v>66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3</v>
      </c>
      <c r="AI353">
        <v>1</v>
      </c>
      <c r="AJ353">
        <v>3</v>
      </c>
      <c r="AK353">
        <v>0</v>
      </c>
      <c r="AL353">
        <v>8</v>
      </c>
      <c r="AM353">
        <v>0</v>
      </c>
      <c r="AN353" t="s">
        <v>68</v>
      </c>
      <c r="AO353" t="s">
        <v>68</v>
      </c>
      <c r="AP353">
        <v>0</v>
      </c>
      <c r="AQ353" t="s">
        <v>69</v>
      </c>
      <c r="AR353">
        <v>11</v>
      </c>
      <c r="AS353">
        <v>0</v>
      </c>
      <c r="AT353">
        <v>3.4389999999999997E-2</v>
      </c>
      <c r="AU353">
        <v>-7.7600000000000004E-3</v>
      </c>
      <c r="AV353">
        <v>0.19636000000000001</v>
      </c>
      <c r="AW353">
        <v>-4.6240000000000003E-2</v>
      </c>
      <c r="AX353">
        <v>0</v>
      </c>
      <c r="AY353">
        <v>0</v>
      </c>
      <c r="AZ353">
        <v>0</v>
      </c>
      <c r="BA353">
        <v>1</v>
      </c>
      <c r="BB353" t="s">
        <v>70</v>
      </c>
      <c r="BC353">
        <v>1.3420000000000001</v>
      </c>
      <c r="BD353">
        <v>0.59599999999999997</v>
      </c>
      <c r="BE353" t="s">
        <v>71</v>
      </c>
    </row>
    <row r="354" spans="1:57">
      <c r="A354">
        <v>1146</v>
      </c>
      <c r="B354" t="s">
        <v>1196</v>
      </c>
      <c r="D354" t="s">
        <v>60</v>
      </c>
      <c r="E354" t="s">
        <v>1197</v>
      </c>
      <c r="F354" t="s">
        <v>1198</v>
      </c>
      <c r="G354">
        <v>328</v>
      </c>
      <c r="H354" t="s">
        <v>63</v>
      </c>
      <c r="I354">
        <v>5</v>
      </c>
      <c r="J354" t="str">
        <f>HYPERLINK("Gene1146-zp_tree_all.dnd", "Gene1146-tree")</f>
        <v>Gene1146-tree</v>
      </c>
      <c r="K354">
        <v>3</v>
      </c>
      <c r="L354">
        <v>2</v>
      </c>
      <c r="M354">
        <v>2</v>
      </c>
      <c r="N354">
        <v>2</v>
      </c>
      <c r="O354">
        <v>0.5</v>
      </c>
      <c r="P354" t="s">
        <v>185</v>
      </c>
      <c r="Q354" t="s">
        <v>124</v>
      </c>
      <c r="R354" t="s">
        <v>66</v>
      </c>
      <c r="S354" t="s">
        <v>66</v>
      </c>
      <c r="T354">
        <v>0</v>
      </c>
      <c r="U354">
        <v>0</v>
      </c>
      <c r="V354">
        <v>5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4</v>
      </c>
      <c r="AI354">
        <v>1</v>
      </c>
      <c r="AJ354">
        <v>26</v>
      </c>
      <c r="AK354">
        <v>4</v>
      </c>
      <c r="AL354">
        <v>31</v>
      </c>
      <c r="AM354">
        <v>2</v>
      </c>
      <c r="AN354" t="s">
        <v>1199</v>
      </c>
      <c r="AO354" t="s">
        <v>1200</v>
      </c>
      <c r="AP354">
        <v>0.90500000000000003</v>
      </c>
      <c r="AQ354" t="s">
        <v>69</v>
      </c>
      <c r="AR354">
        <v>57</v>
      </c>
      <c r="AS354">
        <v>6</v>
      </c>
      <c r="AT354">
        <v>3.6920000000000001E-2</v>
      </c>
      <c r="AU354">
        <v>-6.6299999999999996E-3</v>
      </c>
      <c r="AV354">
        <v>0.17021</v>
      </c>
      <c r="AW354">
        <v>-3.2410000000000001E-2</v>
      </c>
      <c r="AX354">
        <v>4.3899999999999998E-3</v>
      </c>
      <c r="AY354">
        <v>-3.3E-4</v>
      </c>
      <c r="AZ354">
        <v>2.5780000000000001E-2</v>
      </c>
      <c r="BA354">
        <v>1</v>
      </c>
      <c r="BB354" t="s">
        <v>70</v>
      </c>
      <c r="BC354">
        <v>0.625</v>
      </c>
      <c r="BD354">
        <v>0.496</v>
      </c>
      <c r="BE354" t="s">
        <v>71</v>
      </c>
    </row>
    <row r="355" spans="1:57">
      <c r="A355">
        <v>1150</v>
      </c>
      <c r="B355" t="s">
        <v>1201</v>
      </c>
      <c r="D355" t="s">
        <v>60</v>
      </c>
      <c r="E355" t="s">
        <v>1202</v>
      </c>
      <c r="F355" t="s">
        <v>74</v>
      </c>
      <c r="G355">
        <v>250</v>
      </c>
      <c r="H355" t="s">
        <v>63</v>
      </c>
      <c r="I355">
        <v>5</v>
      </c>
      <c r="J355" t="str">
        <f>HYPERLINK("Gene1150-zp_tree_all.dnd", "Gene1150-tree")</f>
        <v>Gene1150-tree</v>
      </c>
      <c r="K355">
        <v>4</v>
      </c>
      <c r="L355">
        <v>1</v>
      </c>
      <c r="M355">
        <v>4</v>
      </c>
      <c r="N355">
        <v>1</v>
      </c>
      <c r="O355">
        <v>0.2</v>
      </c>
      <c r="P355" t="s">
        <v>64</v>
      </c>
      <c r="Q355" t="s">
        <v>65</v>
      </c>
      <c r="R355" t="s">
        <v>66</v>
      </c>
      <c r="S355" t="s">
        <v>66</v>
      </c>
      <c r="T355">
        <v>0</v>
      </c>
      <c r="U355">
        <v>0</v>
      </c>
      <c r="V355">
        <v>5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4</v>
      </c>
      <c r="AG355">
        <v>0</v>
      </c>
      <c r="AH355">
        <v>5</v>
      </c>
      <c r="AI355">
        <v>2</v>
      </c>
      <c r="AJ355">
        <v>20</v>
      </c>
      <c r="AK355">
        <v>4</v>
      </c>
      <c r="AL355">
        <v>24</v>
      </c>
      <c r="AM355">
        <v>1</v>
      </c>
      <c r="AN355" t="s">
        <v>1203</v>
      </c>
      <c r="AO355" t="s">
        <v>1204</v>
      </c>
      <c r="AP355">
        <v>0.433</v>
      </c>
      <c r="AQ355" t="s">
        <v>69</v>
      </c>
      <c r="AR355">
        <v>44</v>
      </c>
      <c r="AS355">
        <v>5</v>
      </c>
      <c r="AT355">
        <v>3.1199999999999999E-2</v>
      </c>
      <c r="AU355">
        <v>-4.8599999999999997E-3</v>
      </c>
      <c r="AV355">
        <v>0.15443999999999999</v>
      </c>
      <c r="AW355">
        <v>-2.5239999999999999E-2</v>
      </c>
      <c r="AX355">
        <v>3.7200000000000002E-3</v>
      </c>
      <c r="AY355">
        <v>-1.14E-3</v>
      </c>
      <c r="AZ355">
        <v>2.409E-2</v>
      </c>
      <c r="BA355">
        <v>1</v>
      </c>
      <c r="BB355" t="s">
        <v>70</v>
      </c>
      <c r="BC355">
        <v>0.81299999999999994</v>
      </c>
      <c r="BD355">
        <v>0.67</v>
      </c>
      <c r="BE355" t="s">
        <v>71</v>
      </c>
    </row>
    <row r="356" spans="1:57">
      <c r="A356">
        <v>1153</v>
      </c>
      <c r="B356" t="s">
        <v>1205</v>
      </c>
      <c r="D356" t="s">
        <v>60</v>
      </c>
      <c r="E356" t="s">
        <v>1206</v>
      </c>
      <c r="F356" t="s">
        <v>1207</v>
      </c>
      <c r="G356">
        <v>311</v>
      </c>
      <c r="H356" t="s">
        <v>85</v>
      </c>
      <c r="I356">
        <v>4</v>
      </c>
      <c r="J356" t="str">
        <f>HYPERLINK("Gene1153-zp_tree_all.dnd", "Gene1153-tree")</f>
        <v>Gene1153-tree</v>
      </c>
      <c r="K356">
        <v>3</v>
      </c>
      <c r="L356">
        <v>1</v>
      </c>
      <c r="M356">
        <v>3</v>
      </c>
      <c r="N356">
        <v>1</v>
      </c>
      <c r="O356">
        <v>0.25</v>
      </c>
      <c r="P356" t="s">
        <v>86</v>
      </c>
      <c r="Q356" t="s">
        <v>65</v>
      </c>
      <c r="R356" t="s">
        <v>66</v>
      </c>
      <c r="S356" t="s">
        <v>66</v>
      </c>
      <c r="T356">
        <v>0</v>
      </c>
      <c r="U356">
        <v>0</v>
      </c>
      <c r="V356">
        <v>3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3</v>
      </c>
      <c r="AG356">
        <v>0</v>
      </c>
      <c r="AH356">
        <v>4</v>
      </c>
      <c r="AI356">
        <v>1</v>
      </c>
      <c r="AJ356">
        <v>45</v>
      </c>
      <c r="AK356">
        <v>3</v>
      </c>
      <c r="AL356">
        <v>1</v>
      </c>
      <c r="AM356">
        <v>0</v>
      </c>
      <c r="AN356" t="s">
        <v>1208</v>
      </c>
      <c r="AO356" t="s">
        <v>68</v>
      </c>
      <c r="AP356">
        <v>0.42499999999999999</v>
      </c>
      <c r="AQ356" t="s">
        <v>69</v>
      </c>
      <c r="AR356">
        <v>46</v>
      </c>
      <c r="AS356">
        <v>3</v>
      </c>
      <c r="AT356">
        <v>2.6079999999999999E-2</v>
      </c>
      <c r="AU356">
        <v>-8.0300000000000007E-3</v>
      </c>
      <c r="AV356">
        <v>0.1115</v>
      </c>
      <c r="AW356">
        <v>-3.4680000000000002E-2</v>
      </c>
      <c r="AX356">
        <v>2.14E-3</v>
      </c>
      <c r="AY356">
        <v>-8.7000000000000001E-4</v>
      </c>
      <c r="AZ356">
        <v>1.9179999999999999E-2</v>
      </c>
      <c r="BA356">
        <v>1</v>
      </c>
      <c r="BB356" t="s">
        <v>70</v>
      </c>
      <c r="BC356">
        <v>-0.73499999999999999</v>
      </c>
      <c r="BD356">
        <v>-0.73499999999999999</v>
      </c>
      <c r="BE356" t="s">
        <v>71</v>
      </c>
    </row>
    <row r="357" spans="1:57">
      <c r="A357">
        <v>1154</v>
      </c>
      <c r="B357" t="s">
        <v>1209</v>
      </c>
      <c r="D357" t="s">
        <v>60</v>
      </c>
      <c r="E357" t="s">
        <v>1210</v>
      </c>
      <c r="F357" t="s">
        <v>1211</v>
      </c>
      <c r="G357">
        <v>305</v>
      </c>
      <c r="H357" t="s">
        <v>63</v>
      </c>
      <c r="I357">
        <v>5</v>
      </c>
      <c r="J357" t="str">
        <f>HYPERLINK("Gene1154-zp_tree_all.dnd", "Gene1154-tree")</f>
        <v>Gene1154-tree</v>
      </c>
      <c r="K357">
        <v>3</v>
      </c>
      <c r="L357">
        <v>2</v>
      </c>
      <c r="M357">
        <v>3</v>
      </c>
      <c r="N357">
        <v>2</v>
      </c>
      <c r="O357">
        <v>0.4</v>
      </c>
      <c r="P357" t="s">
        <v>86</v>
      </c>
      <c r="Q357" t="s">
        <v>124</v>
      </c>
      <c r="R357" t="s">
        <v>66</v>
      </c>
      <c r="S357" t="s">
        <v>66</v>
      </c>
      <c r="T357">
        <v>0</v>
      </c>
      <c r="U357">
        <v>0</v>
      </c>
      <c r="V357">
        <v>3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2</v>
      </c>
      <c r="AG357">
        <v>0</v>
      </c>
      <c r="AH357">
        <v>5</v>
      </c>
      <c r="AI357">
        <v>2</v>
      </c>
      <c r="AJ357">
        <v>32</v>
      </c>
      <c r="AK357">
        <v>2</v>
      </c>
      <c r="AL357">
        <v>22</v>
      </c>
      <c r="AM357">
        <v>1</v>
      </c>
      <c r="AN357" t="s">
        <v>1212</v>
      </c>
      <c r="AO357" t="s">
        <v>1213</v>
      </c>
      <c r="AP357">
        <v>0.313</v>
      </c>
      <c r="AQ357" t="s">
        <v>69</v>
      </c>
      <c r="AR357">
        <v>54</v>
      </c>
      <c r="AS357">
        <v>3</v>
      </c>
      <c r="AT357">
        <v>2.9180000000000001E-2</v>
      </c>
      <c r="AU357">
        <v>-3.3E-3</v>
      </c>
      <c r="AV357">
        <v>0.12734999999999999</v>
      </c>
      <c r="AW357">
        <v>-1.5219999999999999E-2</v>
      </c>
      <c r="AX357">
        <v>2.0100000000000001E-3</v>
      </c>
      <c r="AY357">
        <v>-3.6000000000000002E-4</v>
      </c>
      <c r="AZ357">
        <v>1.5810000000000001E-2</v>
      </c>
      <c r="BA357">
        <v>1</v>
      </c>
      <c r="BB357" t="s">
        <v>70</v>
      </c>
      <c r="BC357">
        <v>0.374</v>
      </c>
      <c r="BD357">
        <v>0.22600000000000001</v>
      </c>
      <c r="BE357" t="s">
        <v>71</v>
      </c>
    </row>
    <row r="358" spans="1:57">
      <c r="A358">
        <v>1155</v>
      </c>
      <c r="B358" t="s">
        <v>1214</v>
      </c>
      <c r="D358" t="s">
        <v>60</v>
      </c>
      <c r="E358" t="s">
        <v>1215</v>
      </c>
      <c r="F358" t="s">
        <v>1216</v>
      </c>
      <c r="G358">
        <v>358</v>
      </c>
      <c r="H358" t="s">
        <v>85</v>
      </c>
      <c r="I358">
        <v>4</v>
      </c>
      <c r="J358" t="str">
        <f>HYPERLINK("Gene1155-zp_tree_all.dnd", "Gene1155-tree")</f>
        <v>Gene1155-tree</v>
      </c>
      <c r="K358">
        <v>1</v>
      </c>
      <c r="L358">
        <v>3</v>
      </c>
      <c r="M358">
        <v>1</v>
      </c>
      <c r="N358">
        <v>3</v>
      </c>
      <c r="O358">
        <v>0.75</v>
      </c>
      <c r="P358" t="s">
        <v>65</v>
      </c>
      <c r="Q358" t="s">
        <v>86</v>
      </c>
      <c r="R358" t="s">
        <v>66</v>
      </c>
      <c r="S358" t="s">
        <v>66</v>
      </c>
      <c r="T358">
        <v>0</v>
      </c>
      <c r="U358">
        <v>0</v>
      </c>
      <c r="V358">
        <v>5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4</v>
      </c>
      <c r="AG358">
        <v>0</v>
      </c>
      <c r="AH358">
        <v>4</v>
      </c>
      <c r="AI358">
        <v>1</v>
      </c>
      <c r="AJ358">
        <v>53</v>
      </c>
      <c r="AK358">
        <v>4</v>
      </c>
      <c r="AL358">
        <v>8</v>
      </c>
      <c r="AM358">
        <v>1</v>
      </c>
      <c r="AN358" t="s">
        <v>1217</v>
      </c>
      <c r="AO358" t="s">
        <v>1218</v>
      </c>
      <c r="AP358">
        <v>0.95099999999999996</v>
      </c>
      <c r="AQ358" t="s">
        <v>69</v>
      </c>
      <c r="AR358">
        <v>61</v>
      </c>
      <c r="AS358">
        <v>5</v>
      </c>
      <c r="AT358">
        <v>3.1040000000000002E-2</v>
      </c>
      <c r="AU358">
        <v>-5.9800000000000001E-3</v>
      </c>
      <c r="AV358">
        <v>0.13578999999999999</v>
      </c>
      <c r="AW358">
        <v>-3.0130000000000001E-2</v>
      </c>
      <c r="AX358">
        <v>3.2599999999999999E-3</v>
      </c>
      <c r="AY358">
        <v>-4.6999999999999999E-4</v>
      </c>
      <c r="AZ358">
        <v>2.3980000000000001E-2</v>
      </c>
      <c r="BA358">
        <v>1</v>
      </c>
      <c r="BB358" t="s">
        <v>70</v>
      </c>
      <c r="BC358">
        <v>-0.15</v>
      </c>
      <c r="BD358">
        <v>-0.45800000000000002</v>
      </c>
      <c r="BE358" t="s">
        <v>71</v>
      </c>
    </row>
    <row r="359" spans="1:57">
      <c r="A359">
        <v>1156</v>
      </c>
      <c r="B359" t="s">
        <v>1219</v>
      </c>
      <c r="D359" t="s">
        <v>60</v>
      </c>
      <c r="E359" t="s">
        <v>1220</v>
      </c>
      <c r="F359" t="s">
        <v>1221</v>
      </c>
      <c r="G359">
        <v>305</v>
      </c>
      <c r="H359" t="s">
        <v>85</v>
      </c>
      <c r="I359">
        <v>4</v>
      </c>
      <c r="J359" t="str">
        <f>HYPERLINK("Gene1156-zp_tree_all.dnd", "Gene1156-tree")</f>
        <v>Gene1156-tree</v>
      </c>
      <c r="K359">
        <v>3</v>
      </c>
      <c r="L359">
        <v>1</v>
      </c>
      <c r="M359">
        <v>3</v>
      </c>
      <c r="N359">
        <v>1</v>
      </c>
      <c r="O359">
        <v>0.25</v>
      </c>
      <c r="P359" t="s">
        <v>86</v>
      </c>
      <c r="Q359" t="s">
        <v>65</v>
      </c>
      <c r="R359" t="s">
        <v>66</v>
      </c>
      <c r="S359" t="s">
        <v>66</v>
      </c>
      <c r="T359">
        <v>0</v>
      </c>
      <c r="U359">
        <v>0</v>
      </c>
      <c r="V359">
        <v>4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4</v>
      </c>
      <c r="AG359">
        <v>0</v>
      </c>
      <c r="AH359">
        <v>4</v>
      </c>
      <c r="AI359">
        <v>1</v>
      </c>
      <c r="AJ359">
        <v>56</v>
      </c>
      <c r="AK359">
        <v>4</v>
      </c>
      <c r="AL359">
        <v>2</v>
      </c>
      <c r="AM359">
        <v>0</v>
      </c>
      <c r="AN359" t="s">
        <v>1222</v>
      </c>
      <c r="AO359" t="s">
        <v>68</v>
      </c>
      <c r="AP359">
        <v>0.56000000000000005</v>
      </c>
      <c r="AQ359" t="s">
        <v>69</v>
      </c>
      <c r="AR359">
        <v>58</v>
      </c>
      <c r="AS359">
        <v>4</v>
      </c>
      <c r="AT359">
        <v>3.2969999999999999E-2</v>
      </c>
      <c r="AU359">
        <v>-6.1000000000000004E-3</v>
      </c>
      <c r="AV359">
        <v>0.15112</v>
      </c>
      <c r="AW359">
        <v>-2.7789999999999999E-2</v>
      </c>
      <c r="AX359">
        <v>2.8500000000000001E-3</v>
      </c>
      <c r="AY359">
        <v>-1.16E-3</v>
      </c>
      <c r="AZ359">
        <v>1.883E-2</v>
      </c>
      <c r="BA359">
        <v>1</v>
      </c>
      <c r="BB359" t="s">
        <v>70</v>
      </c>
      <c r="BC359">
        <v>-0.48399999999999999</v>
      </c>
      <c r="BD359">
        <v>-0.64900000000000002</v>
      </c>
      <c r="BE359" t="s">
        <v>71</v>
      </c>
    </row>
    <row r="360" spans="1:57">
      <c r="A360">
        <v>1158</v>
      </c>
      <c r="B360" t="s">
        <v>1223</v>
      </c>
      <c r="D360" t="s">
        <v>60</v>
      </c>
      <c r="E360" t="s">
        <v>1224</v>
      </c>
      <c r="F360" t="s">
        <v>1225</v>
      </c>
      <c r="G360">
        <v>192</v>
      </c>
      <c r="H360" t="s">
        <v>63</v>
      </c>
      <c r="I360">
        <v>5</v>
      </c>
      <c r="J360" t="str">
        <f>HYPERLINK("Gene1158-zp_tree_all.dnd", "Gene1158-tree")</f>
        <v>Gene1158-tree</v>
      </c>
      <c r="K360">
        <v>4</v>
      </c>
      <c r="L360">
        <v>1</v>
      </c>
      <c r="M360">
        <v>4</v>
      </c>
      <c r="N360">
        <v>1</v>
      </c>
      <c r="O360">
        <v>0.2</v>
      </c>
      <c r="P360" t="s">
        <v>64</v>
      </c>
      <c r="Q360" t="s">
        <v>65</v>
      </c>
      <c r="R360" t="s">
        <v>66</v>
      </c>
      <c r="S360" t="s">
        <v>66</v>
      </c>
      <c r="T360">
        <v>0</v>
      </c>
      <c r="U360">
        <v>0</v>
      </c>
      <c r="V360">
        <v>2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2</v>
      </c>
      <c r="AG360">
        <v>0</v>
      </c>
      <c r="AH360">
        <v>5</v>
      </c>
      <c r="AI360">
        <v>2</v>
      </c>
      <c r="AJ360">
        <v>9</v>
      </c>
      <c r="AK360">
        <v>2</v>
      </c>
      <c r="AL360">
        <v>9</v>
      </c>
      <c r="AM360">
        <v>0</v>
      </c>
      <c r="AN360" t="s">
        <v>1226</v>
      </c>
      <c r="AO360" t="s">
        <v>68</v>
      </c>
      <c r="AP360">
        <v>0.505</v>
      </c>
      <c r="AQ360" t="s">
        <v>69</v>
      </c>
      <c r="AR360">
        <v>18</v>
      </c>
      <c r="AS360">
        <v>2</v>
      </c>
      <c r="AT360">
        <v>1.6320000000000001E-2</v>
      </c>
      <c r="AU360">
        <v>-1.72E-3</v>
      </c>
      <c r="AV360">
        <v>7.9289999999999999E-2</v>
      </c>
      <c r="AW360">
        <v>-9.9100000000000004E-3</v>
      </c>
      <c r="AX360">
        <v>1.74E-3</v>
      </c>
      <c r="AY360">
        <v>-6.4999999999999997E-4</v>
      </c>
      <c r="AZ360">
        <v>2.196E-2</v>
      </c>
      <c r="BA360">
        <v>1</v>
      </c>
      <c r="BB360" t="s">
        <v>70</v>
      </c>
      <c r="BC360">
        <v>0.22700000000000001</v>
      </c>
      <c r="BD360">
        <v>0.22700000000000001</v>
      </c>
      <c r="BE360" t="s">
        <v>71</v>
      </c>
    </row>
    <row r="361" spans="1:57">
      <c r="A361">
        <v>1161</v>
      </c>
      <c r="B361" t="s">
        <v>1232</v>
      </c>
      <c r="D361" t="s">
        <v>60</v>
      </c>
      <c r="E361" t="s">
        <v>1233</v>
      </c>
      <c r="F361" t="s">
        <v>1234</v>
      </c>
      <c r="G361">
        <v>218</v>
      </c>
      <c r="H361" t="s">
        <v>63</v>
      </c>
      <c r="I361">
        <v>5</v>
      </c>
      <c r="J361" t="str">
        <f>HYPERLINK("Gene1161-zp_tree_all.dnd", "Gene1161-tree")</f>
        <v>Gene1161-tree</v>
      </c>
      <c r="K361">
        <v>0</v>
      </c>
      <c r="L361">
        <v>5</v>
      </c>
      <c r="M361">
        <v>0</v>
      </c>
      <c r="N361">
        <v>4</v>
      </c>
      <c r="O361">
        <v>1</v>
      </c>
      <c r="P361" t="s">
        <v>66</v>
      </c>
      <c r="Q361" t="s">
        <v>135</v>
      </c>
      <c r="R361">
        <v>3.1949999999999998</v>
      </c>
      <c r="S361" t="s">
        <v>69</v>
      </c>
      <c r="T361">
        <v>0</v>
      </c>
      <c r="U361">
        <v>0</v>
      </c>
      <c r="V361">
        <v>5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5</v>
      </c>
      <c r="AG361">
        <v>0</v>
      </c>
      <c r="AH361">
        <v>3</v>
      </c>
      <c r="AI361">
        <v>1</v>
      </c>
      <c r="AJ361">
        <v>5</v>
      </c>
      <c r="AK361">
        <v>4</v>
      </c>
      <c r="AL361">
        <v>5</v>
      </c>
      <c r="AM361">
        <v>1</v>
      </c>
      <c r="AN361" t="s">
        <v>1235</v>
      </c>
      <c r="AO361" t="s">
        <v>1236</v>
      </c>
      <c r="AP361">
        <v>2.8929999999999998</v>
      </c>
      <c r="AQ361" t="s">
        <v>239</v>
      </c>
      <c r="AR361">
        <v>10</v>
      </c>
      <c r="AS361">
        <v>5</v>
      </c>
      <c r="AT361">
        <v>1.2999999999999999E-2</v>
      </c>
      <c r="AU361">
        <v>-2.0600000000000002E-3</v>
      </c>
      <c r="AV361">
        <v>4.4940000000000001E-2</v>
      </c>
      <c r="AW361">
        <v>-8.5299999999999994E-3</v>
      </c>
      <c r="AX361">
        <v>5.1500000000000001E-3</v>
      </c>
      <c r="AY361">
        <v>-7.5000000000000002E-4</v>
      </c>
      <c r="AZ361">
        <v>0.11469</v>
      </c>
      <c r="BA361">
        <v>1</v>
      </c>
      <c r="BB361" t="s">
        <v>70</v>
      </c>
      <c r="BC361">
        <v>0</v>
      </c>
      <c r="BD361">
        <v>0</v>
      </c>
      <c r="BE361" t="s">
        <v>71</v>
      </c>
    </row>
    <row r="362" spans="1:57">
      <c r="A362">
        <v>1169</v>
      </c>
      <c r="B362" t="s">
        <v>1243</v>
      </c>
      <c r="D362" t="s">
        <v>60</v>
      </c>
      <c r="E362" t="s">
        <v>1244</v>
      </c>
      <c r="F362" t="s">
        <v>74</v>
      </c>
      <c r="G362">
        <v>122</v>
      </c>
      <c r="H362" t="s">
        <v>63</v>
      </c>
      <c r="I362">
        <v>5</v>
      </c>
      <c r="J362" t="str">
        <f>HYPERLINK("Gene1169-zp_tree_all.dnd", "Gene1169-tree")</f>
        <v>Gene1169-tree</v>
      </c>
      <c r="K362">
        <v>0</v>
      </c>
      <c r="L362">
        <v>5</v>
      </c>
      <c r="M362">
        <v>0</v>
      </c>
      <c r="N362">
        <v>5</v>
      </c>
      <c r="O362">
        <v>1</v>
      </c>
      <c r="P362" t="s">
        <v>66</v>
      </c>
      <c r="Q362" t="s">
        <v>96</v>
      </c>
      <c r="R362" t="s">
        <v>66</v>
      </c>
      <c r="S362" t="s">
        <v>66</v>
      </c>
      <c r="T362">
        <v>1</v>
      </c>
      <c r="U362">
        <v>2</v>
      </c>
      <c r="V362">
        <v>7</v>
      </c>
      <c r="W362">
        <v>0.22222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</v>
      </c>
      <c r="AE362">
        <v>2</v>
      </c>
      <c r="AF362">
        <v>7</v>
      </c>
      <c r="AG362">
        <v>0.22222</v>
      </c>
      <c r="AH362">
        <v>4</v>
      </c>
      <c r="AI362">
        <v>2</v>
      </c>
      <c r="AJ362">
        <v>5</v>
      </c>
      <c r="AK362">
        <v>5</v>
      </c>
      <c r="AL362">
        <v>8</v>
      </c>
      <c r="AM362">
        <v>4</v>
      </c>
      <c r="AN362" t="s">
        <v>1245</v>
      </c>
      <c r="AO362" t="s">
        <v>1246</v>
      </c>
      <c r="AP362">
        <v>0.71099999999999997</v>
      </c>
      <c r="AQ362" t="s">
        <v>69</v>
      </c>
      <c r="AR362">
        <v>13</v>
      </c>
      <c r="AS362">
        <v>9</v>
      </c>
      <c r="AT362">
        <v>3.0030000000000001E-2</v>
      </c>
      <c r="AU362">
        <v>-5.4999999999999997E-3</v>
      </c>
      <c r="AV362">
        <v>9.0480000000000005E-2</v>
      </c>
      <c r="AW362">
        <v>-2.027E-2</v>
      </c>
      <c r="AX362">
        <v>1.566E-2</v>
      </c>
      <c r="AY362">
        <v>-2.2200000000000002E-3</v>
      </c>
      <c r="AZ362">
        <v>0.17311000000000001</v>
      </c>
      <c r="BA362">
        <v>1</v>
      </c>
      <c r="BB362" t="s">
        <v>70</v>
      </c>
      <c r="BC362">
        <v>0.629</v>
      </c>
      <c r="BD362">
        <v>0.16900000000000001</v>
      </c>
      <c r="BE362" t="s">
        <v>71</v>
      </c>
    </row>
    <row r="363" spans="1:57">
      <c r="A363">
        <v>1170</v>
      </c>
      <c r="B363" t="s">
        <v>1247</v>
      </c>
      <c r="D363" t="s">
        <v>60</v>
      </c>
      <c r="E363" t="s">
        <v>1248</v>
      </c>
      <c r="F363" t="s">
        <v>1249</v>
      </c>
      <c r="G363">
        <v>211</v>
      </c>
      <c r="H363" t="s">
        <v>85</v>
      </c>
      <c r="I363">
        <v>4</v>
      </c>
      <c r="J363" t="str">
        <f>HYPERLINK("Gene1170-zp_tree_all.dnd", "Gene1170-tree")</f>
        <v>Gene1170-tree</v>
      </c>
      <c r="K363">
        <v>3</v>
      </c>
      <c r="L363">
        <v>1</v>
      </c>
      <c r="M363">
        <v>3</v>
      </c>
      <c r="N363">
        <v>1</v>
      </c>
      <c r="O363">
        <v>0.25</v>
      </c>
      <c r="P363" t="s">
        <v>86</v>
      </c>
      <c r="Q363" t="s">
        <v>65</v>
      </c>
      <c r="R363" t="s">
        <v>66</v>
      </c>
      <c r="S363" t="s">
        <v>66</v>
      </c>
      <c r="T363">
        <v>0</v>
      </c>
      <c r="U363">
        <v>0</v>
      </c>
      <c r="V363">
        <v>2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2</v>
      </c>
      <c r="AG363">
        <v>0</v>
      </c>
      <c r="AH363">
        <v>4</v>
      </c>
      <c r="AI363">
        <v>0</v>
      </c>
      <c r="AJ363">
        <v>35</v>
      </c>
      <c r="AK363">
        <v>2</v>
      </c>
      <c r="AL363">
        <v>0</v>
      </c>
      <c r="AM363">
        <v>0</v>
      </c>
      <c r="AN363" t="s">
        <v>1250</v>
      </c>
      <c r="AO363" t="s">
        <v>68</v>
      </c>
      <c r="AP363">
        <v>0.48399999999999999</v>
      </c>
      <c r="AQ363" t="s">
        <v>69</v>
      </c>
      <c r="AR363">
        <v>35</v>
      </c>
      <c r="AS363">
        <v>2</v>
      </c>
      <c r="AT363">
        <v>2.9229999999999999E-2</v>
      </c>
      <c r="AU363">
        <v>-7.2300000000000003E-3</v>
      </c>
      <c r="AV363">
        <v>0.14355000000000001</v>
      </c>
      <c r="AW363">
        <v>-3.635E-2</v>
      </c>
      <c r="AX363">
        <v>2.0300000000000001E-3</v>
      </c>
      <c r="AY363">
        <v>-8.3000000000000001E-4</v>
      </c>
      <c r="AZ363">
        <v>1.413E-2</v>
      </c>
      <c r="BA363">
        <v>1</v>
      </c>
      <c r="BB363" t="s">
        <v>70</v>
      </c>
      <c r="BC363">
        <v>-0.86399999999999999</v>
      </c>
      <c r="BD363">
        <v>-0.86399999999999999</v>
      </c>
      <c r="BE363" t="s">
        <v>71</v>
      </c>
    </row>
    <row r="364" spans="1:57">
      <c r="A364">
        <v>1171</v>
      </c>
      <c r="B364" t="s">
        <v>1251</v>
      </c>
      <c r="D364" t="s">
        <v>60</v>
      </c>
      <c r="E364" t="s">
        <v>1252</v>
      </c>
      <c r="F364" t="s">
        <v>1253</v>
      </c>
      <c r="G364">
        <v>266</v>
      </c>
      <c r="H364" t="s">
        <v>85</v>
      </c>
      <c r="I364">
        <v>4</v>
      </c>
      <c r="J364" t="str">
        <f>HYPERLINK("Gene1171-zp_tree_all.dnd", "Gene1171-tree")</f>
        <v>Gene1171-tree</v>
      </c>
      <c r="K364">
        <v>3</v>
      </c>
      <c r="L364">
        <v>1</v>
      </c>
      <c r="M364">
        <v>3</v>
      </c>
      <c r="N364">
        <v>1</v>
      </c>
      <c r="O364">
        <v>0.25</v>
      </c>
      <c r="P364" t="s">
        <v>86</v>
      </c>
      <c r="Q364" t="s">
        <v>65</v>
      </c>
      <c r="R364" t="s">
        <v>66</v>
      </c>
      <c r="S364" t="s">
        <v>66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4</v>
      </c>
      <c r="AI364">
        <v>0</v>
      </c>
      <c r="AJ364">
        <v>44</v>
      </c>
      <c r="AK364">
        <v>1</v>
      </c>
      <c r="AL364">
        <v>0</v>
      </c>
      <c r="AM364">
        <v>0</v>
      </c>
      <c r="AN364" t="s">
        <v>1254</v>
      </c>
      <c r="AO364" t="s">
        <v>68</v>
      </c>
      <c r="AP364">
        <v>0.41199999999999998</v>
      </c>
      <c r="AQ364" t="s">
        <v>69</v>
      </c>
      <c r="AR364">
        <v>44</v>
      </c>
      <c r="AS364">
        <v>1</v>
      </c>
      <c r="AT364">
        <v>2.8199999999999999E-2</v>
      </c>
      <c r="AU364">
        <v>-8.8299999999999993E-3</v>
      </c>
      <c r="AV364">
        <v>0.13721</v>
      </c>
      <c r="AW364">
        <v>-4.4240000000000002E-2</v>
      </c>
      <c r="AX364">
        <v>8.1999999999999998E-4</v>
      </c>
      <c r="AY364">
        <v>-3.3E-4</v>
      </c>
      <c r="AZ364">
        <v>5.9500000000000004E-3</v>
      </c>
      <c r="BA364">
        <v>1</v>
      </c>
      <c r="BB364" t="s">
        <v>70</v>
      </c>
      <c r="BC364">
        <v>-0.86599999999999999</v>
      </c>
      <c r="BD364">
        <v>-0.86599999999999999</v>
      </c>
      <c r="BE364" t="s">
        <v>71</v>
      </c>
    </row>
    <row r="365" spans="1:57">
      <c r="A365">
        <v>1194</v>
      </c>
      <c r="B365" t="s">
        <v>1258</v>
      </c>
      <c r="D365" t="s">
        <v>60</v>
      </c>
      <c r="E365" t="s">
        <v>1259</v>
      </c>
      <c r="F365" t="s">
        <v>74</v>
      </c>
      <c r="G365">
        <v>84</v>
      </c>
      <c r="H365" t="s">
        <v>106</v>
      </c>
      <c r="I365">
        <v>4</v>
      </c>
      <c r="J365" t="str">
        <f>HYPERLINK("Gene1194-zp_tree_all.dnd", "Gene1194-tree")</f>
        <v>Gene1194-tree</v>
      </c>
      <c r="K365">
        <v>3</v>
      </c>
      <c r="L365">
        <v>1</v>
      </c>
      <c r="M365">
        <v>3</v>
      </c>
      <c r="N365">
        <v>1</v>
      </c>
      <c r="O365">
        <v>0.25</v>
      </c>
      <c r="P365" t="s">
        <v>86</v>
      </c>
      <c r="Q365" t="s">
        <v>65</v>
      </c>
      <c r="R365" t="s">
        <v>66</v>
      </c>
      <c r="S365" t="s">
        <v>66</v>
      </c>
      <c r="T365">
        <v>0</v>
      </c>
      <c r="U365">
        <v>0</v>
      </c>
      <c r="V365">
        <v>3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3</v>
      </c>
      <c r="AG365">
        <v>0</v>
      </c>
      <c r="AH365">
        <v>4</v>
      </c>
      <c r="AI365">
        <v>1</v>
      </c>
      <c r="AJ365">
        <v>12</v>
      </c>
      <c r="AK365">
        <v>3</v>
      </c>
      <c r="AL365">
        <v>1</v>
      </c>
      <c r="AM365">
        <v>0</v>
      </c>
      <c r="AN365" t="s">
        <v>1260</v>
      </c>
      <c r="AO365" t="s">
        <v>68</v>
      </c>
      <c r="AP365">
        <v>0.496</v>
      </c>
      <c r="AQ365" t="s">
        <v>69</v>
      </c>
      <c r="AR365">
        <v>13</v>
      </c>
      <c r="AS365">
        <v>3</v>
      </c>
      <c r="AT365">
        <v>3.175E-2</v>
      </c>
      <c r="AU365">
        <v>-7.6600000000000001E-3</v>
      </c>
      <c r="AV365">
        <v>0.13148000000000001</v>
      </c>
      <c r="AW365">
        <v>-2.8809999999999999E-2</v>
      </c>
      <c r="AX365">
        <v>7.7000000000000002E-3</v>
      </c>
      <c r="AY365">
        <v>-3.14E-3</v>
      </c>
      <c r="AZ365">
        <v>5.8560000000000001E-2</v>
      </c>
      <c r="BA365">
        <v>1</v>
      </c>
      <c r="BB365" t="s">
        <v>70</v>
      </c>
      <c r="BC365">
        <v>-0.22600000000000001</v>
      </c>
      <c r="BD365">
        <v>-0.84699999999999998</v>
      </c>
      <c r="BE365" t="s">
        <v>71</v>
      </c>
    </row>
    <row r="366" spans="1:57">
      <c r="A366">
        <v>1243</v>
      </c>
      <c r="B366" t="s">
        <v>1275</v>
      </c>
      <c r="D366" t="s">
        <v>60</v>
      </c>
      <c r="E366" t="s">
        <v>1276</v>
      </c>
      <c r="F366" t="s">
        <v>74</v>
      </c>
      <c r="G366">
        <v>140</v>
      </c>
      <c r="H366" t="s">
        <v>63</v>
      </c>
      <c r="I366">
        <v>5</v>
      </c>
      <c r="J366" t="str">
        <f>HYPERLINK("Gene1243-zp_tree_all.dnd", "Gene1243-tree")</f>
        <v>Gene1243-tree</v>
      </c>
      <c r="K366">
        <v>4</v>
      </c>
      <c r="L366">
        <v>1</v>
      </c>
      <c r="M366">
        <v>4</v>
      </c>
      <c r="N366">
        <v>1</v>
      </c>
      <c r="O366">
        <v>0.2</v>
      </c>
      <c r="P366" t="s">
        <v>64</v>
      </c>
      <c r="Q366" t="s">
        <v>65</v>
      </c>
      <c r="R366" t="s">
        <v>66</v>
      </c>
      <c r="S366" t="s">
        <v>66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2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4</v>
      </c>
      <c r="AI366">
        <v>2</v>
      </c>
      <c r="AJ366">
        <v>4</v>
      </c>
      <c r="AK366">
        <v>1</v>
      </c>
      <c r="AL366">
        <v>16</v>
      </c>
      <c r="AM366">
        <v>1</v>
      </c>
      <c r="AN366" t="s">
        <v>1277</v>
      </c>
      <c r="AO366" t="s">
        <v>1278</v>
      </c>
      <c r="AP366">
        <v>0.50700000000000001</v>
      </c>
      <c r="AQ366" t="s">
        <v>69</v>
      </c>
      <c r="AR366">
        <v>20</v>
      </c>
      <c r="AS366">
        <v>2</v>
      </c>
      <c r="AT366">
        <v>2.81E-2</v>
      </c>
      <c r="AU366">
        <v>-5.0899999999999999E-3</v>
      </c>
      <c r="AV366">
        <v>0.12819</v>
      </c>
      <c r="AW366">
        <v>-2.5069999999999999E-2</v>
      </c>
      <c r="AX366">
        <v>3.0799999999999998E-3</v>
      </c>
      <c r="AY366">
        <v>-6.2E-4</v>
      </c>
      <c r="AZ366">
        <v>2.4039999999999999E-2</v>
      </c>
      <c r="BA366">
        <v>1</v>
      </c>
      <c r="BB366" t="s">
        <v>70</v>
      </c>
      <c r="BC366">
        <v>1.2629999999999999</v>
      </c>
      <c r="BD366">
        <v>1.2629999999999999</v>
      </c>
      <c r="BE366" t="s">
        <v>71</v>
      </c>
    </row>
    <row r="367" spans="1:57">
      <c r="A367">
        <v>1243</v>
      </c>
      <c r="B367" t="s">
        <v>1275</v>
      </c>
      <c r="D367" t="s">
        <v>60</v>
      </c>
      <c r="E367" t="s">
        <v>1276</v>
      </c>
      <c r="F367" t="s">
        <v>74</v>
      </c>
      <c r="G367">
        <v>140</v>
      </c>
      <c r="H367" t="s">
        <v>63</v>
      </c>
      <c r="I367">
        <v>5</v>
      </c>
      <c r="J367" t="str">
        <f>HYPERLINK("Gene1243-zp_tree_all.dnd", "Gene1243-tree")</f>
        <v>Gene1243-tree</v>
      </c>
      <c r="K367">
        <v>4</v>
      </c>
      <c r="L367">
        <v>1</v>
      </c>
      <c r="M367">
        <v>4</v>
      </c>
      <c r="N367">
        <v>1</v>
      </c>
      <c r="O367">
        <v>0.2</v>
      </c>
      <c r="P367" t="s">
        <v>64</v>
      </c>
      <c r="Q367" t="s">
        <v>65</v>
      </c>
      <c r="R367" t="s">
        <v>66</v>
      </c>
      <c r="S367" t="s">
        <v>66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2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0</v>
      </c>
      <c r="AH367">
        <v>4</v>
      </c>
      <c r="AI367">
        <v>2</v>
      </c>
      <c r="AJ367">
        <v>4</v>
      </c>
      <c r="AK367">
        <v>1</v>
      </c>
      <c r="AL367">
        <v>16</v>
      </c>
      <c r="AM367">
        <v>1</v>
      </c>
      <c r="AN367" t="s">
        <v>1277</v>
      </c>
      <c r="AO367" t="s">
        <v>1278</v>
      </c>
      <c r="AP367">
        <v>0.50700000000000001</v>
      </c>
      <c r="AQ367" t="s">
        <v>69</v>
      </c>
      <c r="AR367">
        <v>20</v>
      </c>
      <c r="AS367">
        <v>2</v>
      </c>
      <c r="AT367">
        <v>2.81E-2</v>
      </c>
      <c r="AU367">
        <v>-5.0899999999999999E-3</v>
      </c>
      <c r="AV367">
        <v>0.12819</v>
      </c>
      <c r="AW367">
        <v>-2.5069999999999999E-2</v>
      </c>
      <c r="AX367">
        <v>3.0799999999999998E-3</v>
      </c>
      <c r="AY367">
        <v>-6.2E-4</v>
      </c>
      <c r="AZ367">
        <v>2.4039999999999999E-2</v>
      </c>
      <c r="BA367">
        <v>1</v>
      </c>
      <c r="BB367" t="s">
        <v>70</v>
      </c>
      <c r="BC367">
        <v>1.2629999999999999</v>
      </c>
      <c r="BD367">
        <v>1.2629999999999999</v>
      </c>
      <c r="BE367" t="s">
        <v>71</v>
      </c>
    </row>
    <row r="368" spans="1:57">
      <c r="A368">
        <v>1244</v>
      </c>
      <c r="B368" t="s">
        <v>1279</v>
      </c>
      <c r="D368" t="s">
        <v>60</v>
      </c>
      <c r="E368" t="s">
        <v>1280</v>
      </c>
      <c r="F368" t="s">
        <v>1281</v>
      </c>
      <c r="G368">
        <v>392</v>
      </c>
      <c r="H368" t="s">
        <v>63</v>
      </c>
      <c r="I368">
        <v>5</v>
      </c>
      <c r="J368" t="str">
        <f>HYPERLINK("Gene1244-zp_tree_all.dnd", "Gene1244-tree")</f>
        <v>Gene1244-tree</v>
      </c>
      <c r="K368">
        <v>3</v>
      </c>
      <c r="L368">
        <v>2</v>
      </c>
      <c r="M368">
        <v>3</v>
      </c>
      <c r="N368">
        <v>2</v>
      </c>
      <c r="O368">
        <v>0.4</v>
      </c>
      <c r="P368" t="s">
        <v>86</v>
      </c>
      <c r="Q368" t="s">
        <v>124</v>
      </c>
      <c r="R368" t="s">
        <v>66</v>
      </c>
      <c r="S368" t="s">
        <v>66</v>
      </c>
      <c r="T368">
        <v>0</v>
      </c>
      <c r="U368">
        <v>0</v>
      </c>
      <c r="V368">
        <v>4</v>
      </c>
      <c r="W368">
        <v>0</v>
      </c>
      <c r="X368">
        <v>0</v>
      </c>
      <c r="Y368">
        <v>0</v>
      </c>
      <c r="Z368">
        <v>0</v>
      </c>
      <c r="AA368">
        <v>2</v>
      </c>
      <c r="AB368">
        <v>0</v>
      </c>
      <c r="AC368">
        <v>0</v>
      </c>
      <c r="AD368">
        <v>0</v>
      </c>
      <c r="AE368">
        <v>0</v>
      </c>
      <c r="AF368">
        <v>2</v>
      </c>
      <c r="AG368">
        <v>0</v>
      </c>
      <c r="AH368">
        <v>5</v>
      </c>
      <c r="AI368">
        <v>2</v>
      </c>
      <c r="AJ368">
        <v>33</v>
      </c>
      <c r="AK368">
        <v>2</v>
      </c>
      <c r="AL368">
        <v>20</v>
      </c>
      <c r="AM368">
        <v>2</v>
      </c>
      <c r="AN368" t="s">
        <v>1282</v>
      </c>
      <c r="AO368" t="s">
        <v>1283</v>
      </c>
      <c r="AP368">
        <v>0.38300000000000001</v>
      </c>
      <c r="AQ368" t="s">
        <v>69</v>
      </c>
      <c r="AR368">
        <v>53</v>
      </c>
      <c r="AS368">
        <v>4</v>
      </c>
      <c r="AT368">
        <v>2.1770000000000001E-2</v>
      </c>
      <c r="AU368">
        <v>-2.3E-3</v>
      </c>
      <c r="AV368">
        <v>8.5620000000000002E-2</v>
      </c>
      <c r="AW368">
        <v>-9.41E-3</v>
      </c>
      <c r="AX368">
        <v>2.2699999999999999E-3</v>
      </c>
      <c r="AY368">
        <v>-4.2999999999999999E-4</v>
      </c>
      <c r="AZ368">
        <v>2.6530000000000001E-2</v>
      </c>
      <c r="BA368">
        <v>1</v>
      </c>
      <c r="BB368" t="s">
        <v>70</v>
      </c>
      <c r="BC368">
        <v>4.7E-2</v>
      </c>
      <c r="BD368">
        <v>4.7E-2</v>
      </c>
      <c r="BE368" t="s">
        <v>71</v>
      </c>
    </row>
    <row r="369" spans="1:57">
      <c r="A369">
        <v>1246</v>
      </c>
      <c r="B369" t="s">
        <v>1284</v>
      </c>
      <c r="D369" t="s">
        <v>60</v>
      </c>
      <c r="E369" t="s">
        <v>1285</v>
      </c>
      <c r="F369" t="s">
        <v>1286</v>
      </c>
      <c r="G369">
        <v>459</v>
      </c>
      <c r="H369" t="s">
        <v>63</v>
      </c>
      <c r="I369">
        <v>5</v>
      </c>
      <c r="J369" t="str">
        <f>HYPERLINK("Gene1246-zp_tree_all.dnd", "Gene1246-tree")</f>
        <v>Gene1246-tree</v>
      </c>
      <c r="K369">
        <v>0</v>
      </c>
      <c r="L369">
        <v>5</v>
      </c>
      <c r="M369">
        <v>0</v>
      </c>
      <c r="N369">
        <v>5</v>
      </c>
      <c r="O369">
        <v>1</v>
      </c>
      <c r="P369" t="s">
        <v>66</v>
      </c>
      <c r="Q369" t="s">
        <v>96</v>
      </c>
      <c r="R369" t="s">
        <v>66</v>
      </c>
      <c r="S369" t="s">
        <v>66</v>
      </c>
      <c r="T369">
        <v>0</v>
      </c>
      <c r="U369">
        <v>0</v>
      </c>
      <c r="V369">
        <v>11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11</v>
      </c>
      <c r="AG369">
        <v>0</v>
      </c>
      <c r="AH369">
        <v>5</v>
      </c>
      <c r="AI369">
        <v>2</v>
      </c>
      <c r="AJ369">
        <v>37</v>
      </c>
      <c r="AK369">
        <v>8</v>
      </c>
      <c r="AL369">
        <v>51</v>
      </c>
      <c r="AM369">
        <v>3</v>
      </c>
      <c r="AN369" t="s">
        <v>1287</v>
      </c>
      <c r="AO369" t="s">
        <v>1288</v>
      </c>
      <c r="AP369">
        <v>3.04</v>
      </c>
      <c r="AQ369" t="s">
        <v>239</v>
      </c>
      <c r="AR369">
        <v>88</v>
      </c>
      <c r="AS369">
        <v>11</v>
      </c>
      <c r="AT369">
        <v>3.551E-2</v>
      </c>
      <c r="AU369">
        <v>-5.3600000000000002E-3</v>
      </c>
      <c r="AV369">
        <v>0.14637</v>
      </c>
      <c r="AW369">
        <v>-2.4969999999999999E-2</v>
      </c>
      <c r="AX369">
        <v>4.8300000000000001E-3</v>
      </c>
      <c r="AY369">
        <v>-4.4999999999999999E-4</v>
      </c>
      <c r="AZ369">
        <v>3.3020000000000001E-2</v>
      </c>
      <c r="BA369">
        <v>1</v>
      </c>
      <c r="BB369" t="s">
        <v>70</v>
      </c>
      <c r="BC369">
        <v>0.63600000000000001</v>
      </c>
      <c r="BD369">
        <v>0.41799999999999998</v>
      </c>
      <c r="BE369" t="s">
        <v>71</v>
      </c>
    </row>
    <row r="370" spans="1:57">
      <c r="A370">
        <v>1257</v>
      </c>
      <c r="B370" t="s">
        <v>1296</v>
      </c>
      <c r="D370" t="s">
        <v>60</v>
      </c>
      <c r="E370" t="s">
        <v>1297</v>
      </c>
      <c r="F370" t="s">
        <v>1298</v>
      </c>
      <c r="G370">
        <v>423</v>
      </c>
      <c r="H370" t="s">
        <v>63</v>
      </c>
      <c r="I370">
        <v>5</v>
      </c>
      <c r="J370" t="str">
        <f>HYPERLINK("Gene1257-zp_tree_all.dnd", "Gene1257-tree")</f>
        <v>Gene1257-tree</v>
      </c>
      <c r="K370">
        <v>0</v>
      </c>
      <c r="L370">
        <v>5</v>
      </c>
      <c r="M370">
        <v>0</v>
      </c>
      <c r="N370">
        <v>5</v>
      </c>
      <c r="O370">
        <v>1</v>
      </c>
      <c r="P370" t="s">
        <v>66</v>
      </c>
      <c r="Q370" t="s">
        <v>96</v>
      </c>
      <c r="R370" t="s">
        <v>66</v>
      </c>
      <c r="S370" t="s">
        <v>66</v>
      </c>
      <c r="T370">
        <v>0</v>
      </c>
      <c r="U370">
        <v>0</v>
      </c>
      <c r="V370">
        <v>13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13</v>
      </c>
      <c r="AG370">
        <v>0</v>
      </c>
      <c r="AH370">
        <v>3</v>
      </c>
      <c r="AI370">
        <v>2</v>
      </c>
      <c r="AJ370">
        <v>26</v>
      </c>
      <c r="AK370">
        <v>9</v>
      </c>
      <c r="AL370">
        <v>19</v>
      </c>
      <c r="AM370">
        <v>4</v>
      </c>
      <c r="AN370" t="s">
        <v>1299</v>
      </c>
      <c r="AO370" t="s">
        <v>1300</v>
      </c>
      <c r="AP370">
        <v>0.72399999999999998</v>
      </c>
      <c r="AQ370" t="s">
        <v>69</v>
      </c>
      <c r="AR370">
        <v>45</v>
      </c>
      <c r="AS370">
        <v>13</v>
      </c>
      <c r="AT370">
        <v>2.1909999999999999E-2</v>
      </c>
      <c r="AU370">
        <v>-3.96E-3</v>
      </c>
      <c r="AV370">
        <v>8.3049999999999999E-2</v>
      </c>
      <c r="AW370">
        <v>-1.6150000000000001E-2</v>
      </c>
      <c r="AX370">
        <v>6.1199999999999996E-3</v>
      </c>
      <c r="AY370">
        <v>-9.8999999999999999E-4</v>
      </c>
      <c r="AZ370">
        <v>7.3649999999999993E-2</v>
      </c>
      <c r="BA370">
        <v>1</v>
      </c>
      <c r="BB370" t="s">
        <v>70</v>
      </c>
      <c r="BC370">
        <v>-1.0999999999999999E-2</v>
      </c>
      <c r="BD370">
        <v>-1.0999999999999999E-2</v>
      </c>
      <c r="BE370" t="s">
        <v>71</v>
      </c>
    </row>
    <row r="371" spans="1:57">
      <c r="A371">
        <v>1258</v>
      </c>
      <c r="B371" t="s">
        <v>1301</v>
      </c>
      <c r="D371" t="s">
        <v>60</v>
      </c>
      <c r="E371" t="s">
        <v>1302</v>
      </c>
      <c r="F371" t="s">
        <v>1303</v>
      </c>
      <c r="G371">
        <v>378</v>
      </c>
      <c r="H371" t="s">
        <v>63</v>
      </c>
      <c r="I371">
        <v>5</v>
      </c>
      <c r="J371" t="str">
        <f>HYPERLINK("Gene1258-zp_tree_all.dnd", "Gene1258-tree")</f>
        <v>Gene1258-tree</v>
      </c>
      <c r="K371">
        <v>4</v>
      </c>
      <c r="L371">
        <v>1</v>
      </c>
      <c r="M371">
        <v>4</v>
      </c>
      <c r="N371">
        <v>1</v>
      </c>
      <c r="O371">
        <v>0.2</v>
      </c>
      <c r="P371" t="s">
        <v>64</v>
      </c>
      <c r="Q371" t="s">
        <v>65</v>
      </c>
      <c r="R371" t="s">
        <v>66</v>
      </c>
      <c r="S371" t="s">
        <v>66</v>
      </c>
      <c r="T371">
        <v>0</v>
      </c>
      <c r="U371">
        <v>0</v>
      </c>
      <c r="V371">
        <v>2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1</v>
      </c>
      <c r="AG371">
        <v>0</v>
      </c>
      <c r="AH371">
        <v>5</v>
      </c>
      <c r="AI371">
        <v>2</v>
      </c>
      <c r="AJ371">
        <v>21</v>
      </c>
      <c r="AK371">
        <v>1</v>
      </c>
      <c r="AL371">
        <v>19</v>
      </c>
      <c r="AM371">
        <v>1</v>
      </c>
      <c r="AN371" t="s">
        <v>1304</v>
      </c>
      <c r="AO371" t="s">
        <v>1305</v>
      </c>
      <c r="AP371">
        <v>3.5000000000000003E-2</v>
      </c>
      <c r="AQ371" t="s">
        <v>69</v>
      </c>
      <c r="AR371">
        <v>40</v>
      </c>
      <c r="AS371">
        <v>2</v>
      </c>
      <c r="AT371">
        <v>1.8339999999999999E-2</v>
      </c>
      <c r="AU371">
        <v>-2.7699999999999999E-3</v>
      </c>
      <c r="AV371">
        <v>8.8069999999999996E-2</v>
      </c>
      <c r="AW371">
        <v>-1.3939999999999999E-2</v>
      </c>
      <c r="AX371">
        <v>1.1199999999999999E-3</v>
      </c>
      <c r="AY371">
        <v>-1.9000000000000001E-4</v>
      </c>
      <c r="AZ371">
        <v>1.274E-2</v>
      </c>
      <c r="BA371">
        <v>1</v>
      </c>
      <c r="BB371" t="s">
        <v>70</v>
      </c>
      <c r="BC371">
        <v>0.23899999999999999</v>
      </c>
      <c r="BD371">
        <v>0.23899999999999999</v>
      </c>
      <c r="BE371" t="s">
        <v>71</v>
      </c>
    </row>
    <row r="372" spans="1:57">
      <c r="A372">
        <v>1277</v>
      </c>
      <c r="B372" t="s">
        <v>1309</v>
      </c>
      <c r="D372" t="s">
        <v>60</v>
      </c>
      <c r="E372" t="s">
        <v>1310</v>
      </c>
      <c r="F372" t="s">
        <v>1311</v>
      </c>
      <c r="G372">
        <v>275</v>
      </c>
      <c r="H372" t="s">
        <v>63</v>
      </c>
      <c r="I372">
        <v>5</v>
      </c>
      <c r="J372" t="str">
        <f>HYPERLINK("Gene1277-zp_tree_all.dnd", "Gene1277-tree")</f>
        <v>Gene1277-tree</v>
      </c>
      <c r="K372">
        <v>1</v>
      </c>
      <c r="L372">
        <v>4</v>
      </c>
      <c r="M372">
        <v>1</v>
      </c>
      <c r="N372">
        <v>4</v>
      </c>
      <c r="O372">
        <v>0.8</v>
      </c>
      <c r="P372" t="s">
        <v>65</v>
      </c>
      <c r="Q372" t="s">
        <v>64</v>
      </c>
      <c r="R372" t="s">
        <v>66</v>
      </c>
      <c r="S372" t="s">
        <v>66</v>
      </c>
      <c r="T372">
        <v>1</v>
      </c>
      <c r="U372">
        <v>2</v>
      </c>
      <c r="V372">
        <v>8</v>
      </c>
      <c r="W372">
        <v>0.2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</v>
      </c>
      <c r="AE372">
        <v>2</v>
      </c>
      <c r="AF372">
        <v>8</v>
      </c>
      <c r="AG372">
        <v>0.2</v>
      </c>
      <c r="AH372">
        <v>5</v>
      </c>
      <c r="AI372">
        <v>2</v>
      </c>
      <c r="AJ372">
        <v>13</v>
      </c>
      <c r="AK372">
        <v>6</v>
      </c>
      <c r="AL372">
        <v>25</v>
      </c>
      <c r="AM372">
        <v>4</v>
      </c>
      <c r="AN372" t="s">
        <v>1312</v>
      </c>
      <c r="AO372" t="s">
        <v>1313</v>
      </c>
      <c r="AP372">
        <v>1.1839999999999999</v>
      </c>
      <c r="AQ372" t="s">
        <v>69</v>
      </c>
      <c r="AR372">
        <v>38</v>
      </c>
      <c r="AS372">
        <v>10</v>
      </c>
      <c r="AT372">
        <v>2.945E-2</v>
      </c>
      <c r="AU372">
        <v>-5.13E-3</v>
      </c>
      <c r="AV372">
        <v>0.1192</v>
      </c>
      <c r="AW372">
        <v>-2.248E-2</v>
      </c>
      <c r="AX372">
        <v>7.5100000000000002E-3</v>
      </c>
      <c r="AY372">
        <v>-1.1299999999999999E-3</v>
      </c>
      <c r="AZ372">
        <v>6.2979999999999994E-2</v>
      </c>
      <c r="BA372">
        <v>1</v>
      </c>
      <c r="BB372" t="s">
        <v>70</v>
      </c>
      <c r="BC372">
        <v>0.75800000000000001</v>
      </c>
      <c r="BD372">
        <v>0.58699999999999997</v>
      </c>
      <c r="BE372" t="s">
        <v>71</v>
      </c>
    </row>
    <row r="373" spans="1:57">
      <c r="A373">
        <v>1278</v>
      </c>
      <c r="B373" t="s">
        <v>1314</v>
      </c>
      <c r="D373" t="s">
        <v>60</v>
      </c>
      <c r="E373" t="s">
        <v>1315</v>
      </c>
      <c r="F373" t="s">
        <v>1316</v>
      </c>
      <c r="G373">
        <v>311</v>
      </c>
      <c r="H373" t="s">
        <v>63</v>
      </c>
      <c r="I373">
        <v>5</v>
      </c>
      <c r="J373" t="str">
        <f>HYPERLINK("Gene1278-zp_tree_all.dnd", "Gene1278-tree")</f>
        <v>Gene1278-tree</v>
      </c>
      <c r="K373">
        <v>5</v>
      </c>
      <c r="L373">
        <v>0</v>
      </c>
      <c r="M373">
        <v>5</v>
      </c>
      <c r="N373">
        <v>0</v>
      </c>
      <c r="O373">
        <v>0</v>
      </c>
      <c r="P373" t="s">
        <v>96</v>
      </c>
      <c r="Q373" t="s">
        <v>66</v>
      </c>
      <c r="R373" t="s">
        <v>66</v>
      </c>
      <c r="S373" t="s">
        <v>66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5</v>
      </c>
      <c r="AI373">
        <v>2</v>
      </c>
      <c r="AJ373">
        <v>30</v>
      </c>
      <c r="AK373">
        <v>0</v>
      </c>
      <c r="AL373">
        <v>23</v>
      </c>
      <c r="AM373">
        <v>1</v>
      </c>
      <c r="AN373" t="s">
        <v>68</v>
      </c>
      <c r="AO373" t="s">
        <v>1317</v>
      </c>
      <c r="AP373">
        <v>0.83299999999999996</v>
      </c>
      <c r="AQ373" t="s">
        <v>69</v>
      </c>
      <c r="AR373">
        <v>53</v>
      </c>
      <c r="AS373">
        <v>1</v>
      </c>
      <c r="AT373">
        <v>2.776E-2</v>
      </c>
      <c r="AU373">
        <v>-3.9899999999999996E-3</v>
      </c>
      <c r="AV373">
        <v>0.13070000000000001</v>
      </c>
      <c r="AW373">
        <v>-1.9359999999999999E-2</v>
      </c>
      <c r="AX373">
        <v>8.4000000000000003E-4</v>
      </c>
      <c r="AY373">
        <v>-2.0000000000000001E-4</v>
      </c>
      <c r="AZ373">
        <v>6.4000000000000003E-3</v>
      </c>
      <c r="BA373">
        <v>1</v>
      </c>
      <c r="BB373" t="s">
        <v>70</v>
      </c>
      <c r="BC373">
        <v>0.28399999999999997</v>
      </c>
      <c r="BD373">
        <v>0.13300000000000001</v>
      </c>
      <c r="BE373" t="s">
        <v>71</v>
      </c>
    </row>
    <row r="374" spans="1:57">
      <c r="A374">
        <v>1310</v>
      </c>
      <c r="B374" t="s">
        <v>1327</v>
      </c>
      <c r="D374" t="s">
        <v>60</v>
      </c>
      <c r="E374" t="s">
        <v>1328</v>
      </c>
      <c r="F374" t="s">
        <v>1329</v>
      </c>
      <c r="G374">
        <v>323</v>
      </c>
      <c r="H374" t="s">
        <v>85</v>
      </c>
      <c r="I374">
        <v>4</v>
      </c>
      <c r="J374" t="str">
        <f>HYPERLINK("Gene1310-zp_tree_all.dnd", "Gene1310-tree")</f>
        <v>Gene1310-tree</v>
      </c>
      <c r="K374">
        <v>1</v>
      </c>
      <c r="L374">
        <v>3</v>
      </c>
      <c r="M374">
        <v>1</v>
      </c>
      <c r="N374">
        <v>3</v>
      </c>
      <c r="O374">
        <v>0.75</v>
      </c>
      <c r="P374" t="s">
        <v>65</v>
      </c>
      <c r="Q374" t="s">
        <v>86</v>
      </c>
      <c r="R374" t="s">
        <v>66</v>
      </c>
      <c r="S374" t="s">
        <v>66</v>
      </c>
      <c r="T374">
        <v>0</v>
      </c>
      <c r="U374">
        <v>0</v>
      </c>
      <c r="V374">
        <v>9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9</v>
      </c>
      <c r="AG374">
        <v>0</v>
      </c>
      <c r="AH374">
        <v>4</v>
      </c>
      <c r="AI374">
        <v>1</v>
      </c>
      <c r="AJ374">
        <v>42</v>
      </c>
      <c r="AK374">
        <v>9</v>
      </c>
      <c r="AL374">
        <v>3</v>
      </c>
      <c r="AM374">
        <v>0</v>
      </c>
      <c r="AN374" t="s">
        <v>1330</v>
      </c>
      <c r="AO374" t="s">
        <v>68</v>
      </c>
      <c r="AP374">
        <v>0.77600000000000002</v>
      </c>
      <c r="AQ374" t="s">
        <v>69</v>
      </c>
      <c r="AR374">
        <v>45</v>
      </c>
      <c r="AS374">
        <v>9</v>
      </c>
      <c r="AT374">
        <v>2.8469999999999999E-2</v>
      </c>
      <c r="AU374">
        <v>-7.3400000000000002E-3</v>
      </c>
      <c r="AV374">
        <v>0.11849999999999999</v>
      </c>
      <c r="AW374">
        <v>-3.2320000000000002E-2</v>
      </c>
      <c r="AX374">
        <v>6.0400000000000002E-3</v>
      </c>
      <c r="AY374">
        <v>-1.4400000000000001E-3</v>
      </c>
      <c r="AZ374">
        <v>5.0970000000000001E-2</v>
      </c>
      <c r="BA374">
        <v>1</v>
      </c>
      <c r="BB374" t="s">
        <v>70</v>
      </c>
      <c r="BC374">
        <v>-0.69099999999999995</v>
      </c>
      <c r="BD374">
        <v>-0.69099999999999995</v>
      </c>
      <c r="BE374" t="s">
        <v>71</v>
      </c>
    </row>
    <row r="375" spans="1:57">
      <c r="A375">
        <v>1314</v>
      </c>
      <c r="B375" t="s">
        <v>1331</v>
      </c>
      <c r="D375" t="s">
        <v>60</v>
      </c>
      <c r="E375" t="s">
        <v>1332</v>
      </c>
      <c r="F375" t="s">
        <v>1333</v>
      </c>
      <c r="G375">
        <v>308</v>
      </c>
      <c r="H375" t="s">
        <v>63</v>
      </c>
      <c r="I375">
        <v>5</v>
      </c>
      <c r="J375" t="str">
        <f>HYPERLINK("Gene1314-zp_tree_all.dnd", "Gene1314-tree")</f>
        <v>Gene1314-tree</v>
      </c>
      <c r="K375">
        <v>3</v>
      </c>
      <c r="L375">
        <v>2</v>
      </c>
      <c r="M375">
        <v>3</v>
      </c>
      <c r="N375">
        <v>2</v>
      </c>
      <c r="O375">
        <v>0.4</v>
      </c>
      <c r="P375" t="s">
        <v>86</v>
      </c>
      <c r="Q375" t="s">
        <v>124</v>
      </c>
      <c r="R375" t="s">
        <v>66</v>
      </c>
      <c r="S375" t="s">
        <v>66</v>
      </c>
      <c r="T375">
        <v>0</v>
      </c>
      <c r="U375">
        <v>0</v>
      </c>
      <c r="V375">
        <v>6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0</v>
      </c>
      <c r="AC375">
        <v>0</v>
      </c>
      <c r="AD375">
        <v>0</v>
      </c>
      <c r="AE375">
        <v>0</v>
      </c>
      <c r="AF375">
        <v>3</v>
      </c>
      <c r="AG375">
        <v>0</v>
      </c>
      <c r="AH375">
        <v>5</v>
      </c>
      <c r="AI375">
        <v>2</v>
      </c>
      <c r="AJ375">
        <v>29</v>
      </c>
      <c r="AK375">
        <v>3</v>
      </c>
      <c r="AL375">
        <v>21</v>
      </c>
      <c r="AM375">
        <v>3</v>
      </c>
      <c r="AN375" t="s">
        <v>1334</v>
      </c>
      <c r="AO375" t="s">
        <v>1335</v>
      </c>
      <c r="AP375">
        <v>0.187</v>
      </c>
      <c r="AQ375" t="s">
        <v>69</v>
      </c>
      <c r="AR375">
        <v>50</v>
      </c>
      <c r="AS375">
        <v>6</v>
      </c>
      <c r="AT375">
        <v>2.8250000000000001E-2</v>
      </c>
      <c r="AU375">
        <v>-4.1399999999999996E-3</v>
      </c>
      <c r="AV375">
        <v>0.11083</v>
      </c>
      <c r="AW375">
        <v>-1.6719999999999999E-2</v>
      </c>
      <c r="AX375">
        <v>4.3299999999999996E-3</v>
      </c>
      <c r="AY375">
        <v>-7.9000000000000001E-4</v>
      </c>
      <c r="AZ375">
        <v>3.9030000000000002E-2</v>
      </c>
      <c r="BA375">
        <v>1</v>
      </c>
      <c r="BB375" t="s">
        <v>70</v>
      </c>
      <c r="BC375">
        <v>0.19600000000000001</v>
      </c>
      <c r="BD375">
        <v>4.7E-2</v>
      </c>
      <c r="BE375" t="s">
        <v>71</v>
      </c>
    </row>
    <row r="376" spans="1:57">
      <c r="A376">
        <v>1324</v>
      </c>
      <c r="B376" t="s">
        <v>1336</v>
      </c>
      <c r="D376" t="s">
        <v>60</v>
      </c>
      <c r="E376" t="s">
        <v>1337</v>
      </c>
      <c r="F376" t="s">
        <v>1338</v>
      </c>
      <c r="G376">
        <v>172</v>
      </c>
      <c r="H376" t="s">
        <v>106</v>
      </c>
      <c r="I376">
        <v>4</v>
      </c>
      <c r="J376" t="str">
        <f>HYPERLINK("Gene1324-zp_tree_all.dnd", "Gene1324-tree")</f>
        <v>Gene1324-tree</v>
      </c>
      <c r="K376">
        <v>3</v>
      </c>
      <c r="L376">
        <v>1</v>
      </c>
      <c r="M376">
        <v>3</v>
      </c>
      <c r="N376">
        <v>1</v>
      </c>
      <c r="O376">
        <v>0.25</v>
      </c>
      <c r="P376" t="s">
        <v>86</v>
      </c>
      <c r="Q376" t="s">
        <v>65</v>
      </c>
      <c r="R376" t="s">
        <v>66</v>
      </c>
      <c r="S376" t="s">
        <v>66</v>
      </c>
      <c r="T376">
        <v>0</v>
      </c>
      <c r="U376">
        <v>0</v>
      </c>
      <c r="V376">
        <v>2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4</v>
      </c>
      <c r="AI376">
        <v>1</v>
      </c>
      <c r="AJ376">
        <v>19</v>
      </c>
      <c r="AK376">
        <v>1</v>
      </c>
      <c r="AL376">
        <v>12</v>
      </c>
      <c r="AM376">
        <v>1</v>
      </c>
      <c r="AN376" t="s">
        <v>1339</v>
      </c>
      <c r="AO376" t="s">
        <v>1340</v>
      </c>
      <c r="AP376">
        <v>0.30499999999999999</v>
      </c>
      <c r="AQ376" t="s">
        <v>69</v>
      </c>
      <c r="AR376">
        <v>31</v>
      </c>
      <c r="AS376">
        <v>2</v>
      </c>
      <c r="AT376">
        <v>3.1649999999999998E-2</v>
      </c>
      <c r="AU376">
        <v>-4.2300000000000003E-3</v>
      </c>
      <c r="AV376">
        <v>0.14355000000000001</v>
      </c>
      <c r="AW376">
        <v>-2.12E-2</v>
      </c>
      <c r="AX376">
        <v>2.9299999999999999E-3</v>
      </c>
      <c r="AY376">
        <v>-5.1000000000000004E-4</v>
      </c>
      <c r="AZ376">
        <v>2.044E-2</v>
      </c>
      <c r="BA376">
        <v>1</v>
      </c>
      <c r="BB376" t="s">
        <v>70</v>
      </c>
      <c r="BC376">
        <v>1.5640000000000001</v>
      </c>
      <c r="BD376">
        <v>1.5640000000000001</v>
      </c>
      <c r="BE376" t="s">
        <v>71</v>
      </c>
    </row>
    <row r="377" spans="1:57">
      <c r="A377">
        <v>1354</v>
      </c>
      <c r="B377" t="s">
        <v>1347</v>
      </c>
      <c r="D377" t="s">
        <v>60</v>
      </c>
      <c r="E377" t="s">
        <v>1348</v>
      </c>
      <c r="F377" t="s">
        <v>74</v>
      </c>
      <c r="G377">
        <v>51</v>
      </c>
      <c r="H377" t="s">
        <v>63</v>
      </c>
      <c r="I377">
        <v>5</v>
      </c>
      <c r="J377" t="str">
        <f>HYPERLINK("Gene1354-zp_tree_all.dnd", "Gene1354-tree")</f>
        <v>Gene1354-tree</v>
      </c>
      <c r="K377">
        <v>5</v>
      </c>
      <c r="L377">
        <v>0</v>
      </c>
      <c r="M377">
        <v>5</v>
      </c>
      <c r="N377">
        <v>0</v>
      </c>
      <c r="O377">
        <v>0</v>
      </c>
      <c r="P377" t="s">
        <v>96</v>
      </c>
      <c r="Q377" t="s">
        <v>66</v>
      </c>
      <c r="R377" t="s">
        <v>66</v>
      </c>
      <c r="S377" t="s">
        <v>66</v>
      </c>
      <c r="T377">
        <v>0</v>
      </c>
      <c r="U377">
        <v>0</v>
      </c>
      <c r="V377">
        <v>2</v>
      </c>
      <c r="W377">
        <v>0</v>
      </c>
      <c r="X377">
        <v>0</v>
      </c>
      <c r="Y377">
        <v>0</v>
      </c>
      <c r="Z377">
        <v>0</v>
      </c>
      <c r="AA377">
        <v>2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3</v>
      </c>
      <c r="AI377">
        <v>1</v>
      </c>
      <c r="AJ377">
        <v>5</v>
      </c>
      <c r="AK377">
        <v>0</v>
      </c>
      <c r="AL377">
        <v>2</v>
      </c>
      <c r="AM377">
        <v>2</v>
      </c>
      <c r="AN377" t="s">
        <v>68</v>
      </c>
      <c r="AO377" t="s">
        <v>1349</v>
      </c>
      <c r="AP377">
        <v>0</v>
      </c>
      <c r="AQ377" t="s">
        <v>69</v>
      </c>
      <c r="AR377">
        <v>7</v>
      </c>
      <c r="AS377">
        <v>2</v>
      </c>
      <c r="AT377">
        <v>2.7449999999999999E-2</v>
      </c>
      <c r="AU377">
        <v>-4.0099999999999997E-3</v>
      </c>
      <c r="AV377">
        <v>0.10219</v>
      </c>
      <c r="AW377">
        <v>-1.43E-2</v>
      </c>
      <c r="AX377">
        <v>1.001E-2</v>
      </c>
      <c r="AY377">
        <v>-2.3800000000000002E-3</v>
      </c>
      <c r="AZ377">
        <v>9.7970000000000002E-2</v>
      </c>
      <c r="BA377">
        <v>0.98799999999999999</v>
      </c>
      <c r="BB377" t="s">
        <v>70</v>
      </c>
      <c r="BC377">
        <v>0.66100000000000003</v>
      </c>
      <c r="BD377">
        <v>-7.2999999999999995E-2</v>
      </c>
      <c r="BE377" t="s">
        <v>71</v>
      </c>
    </row>
    <row r="378" spans="1:57">
      <c r="A378">
        <v>1356</v>
      </c>
      <c r="B378" t="s">
        <v>1350</v>
      </c>
      <c r="D378" t="s">
        <v>60</v>
      </c>
      <c r="E378" t="s">
        <v>1351</v>
      </c>
      <c r="F378" t="s">
        <v>787</v>
      </c>
      <c r="G378">
        <v>154</v>
      </c>
      <c r="H378" t="s">
        <v>63</v>
      </c>
      <c r="I378">
        <v>5</v>
      </c>
      <c r="J378" t="str">
        <f>HYPERLINK("Gene1356-zp_tree_all.dnd", "Gene1356-tree")</f>
        <v>Gene1356-tree</v>
      </c>
      <c r="K378">
        <v>3</v>
      </c>
      <c r="L378">
        <v>2</v>
      </c>
      <c r="M378">
        <v>3</v>
      </c>
      <c r="N378">
        <v>2</v>
      </c>
      <c r="O378">
        <v>0.4</v>
      </c>
      <c r="P378" t="s">
        <v>86</v>
      </c>
      <c r="Q378" t="s">
        <v>124</v>
      </c>
      <c r="R378" t="s">
        <v>66</v>
      </c>
      <c r="S378" t="s">
        <v>66</v>
      </c>
      <c r="T378">
        <v>1</v>
      </c>
      <c r="U378">
        <v>2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2</v>
      </c>
      <c r="AE378">
        <v>2</v>
      </c>
      <c r="AF378">
        <v>0</v>
      </c>
      <c r="AG378">
        <v>1</v>
      </c>
      <c r="AH378">
        <v>4</v>
      </c>
      <c r="AI378">
        <v>1</v>
      </c>
      <c r="AJ378">
        <v>11</v>
      </c>
      <c r="AK378">
        <v>2</v>
      </c>
      <c r="AL378">
        <v>13</v>
      </c>
      <c r="AM378">
        <v>0</v>
      </c>
      <c r="AN378" t="s">
        <v>1352</v>
      </c>
      <c r="AO378" t="s">
        <v>68</v>
      </c>
      <c r="AP378">
        <v>1.827</v>
      </c>
      <c r="AQ378" t="s">
        <v>69</v>
      </c>
      <c r="AR378">
        <v>24</v>
      </c>
      <c r="AS378">
        <v>2</v>
      </c>
      <c r="AT378">
        <v>2.8139999999999998E-2</v>
      </c>
      <c r="AU378">
        <v>-4.7699999999999999E-3</v>
      </c>
      <c r="AV378">
        <v>0.13081000000000001</v>
      </c>
      <c r="AW378">
        <v>-2.3689999999999999E-2</v>
      </c>
      <c r="AX378">
        <v>2.2399999999999998E-3</v>
      </c>
      <c r="AY378">
        <v>-5.2999999999999998E-4</v>
      </c>
      <c r="AZ378">
        <v>1.7139999999999999E-2</v>
      </c>
      <c r="BA378">
        <v>1</v>
      </c>
      <c r="BB378" t="s">
        <v>70</v>
      </c>
      <c r="BC378">
        <v>0.31</v>
      </c>
      <c r="BD378">
        <v>0.31</v>
      </c>
      <c r="BE378" t="s">
        <v>71</v>
      </c>
    </row>
    <row r="379" spans="1:57">
      <c r="A379">
        <v>1367</v>
      </c>
      <c r="B379" t="s">
        <v>1353</v>
      </c>
      <c r="D379" t="s">
        <v>60</v>
      </c>
      <c r="E379" t="s">
        <v>1354</v>
      </c>
      <c r="F379" t="s">
        <v>1355</v>
      </c>
      <c r="G379">
        <v>251</v>
      </c>
      <c r="H379" t="s">
        <v>63</v>
      </c>
      <c r="I379">
        <v>5</v>
      </c>
      <c r="J379" t="str">
        <f>HYPERLINK("Gene1367-zp_tree_all.dnd", "Gene1367-tree")</f>
        <v>Gene1367-tree</v>
      </c>
      <c r="K379">
        <v>4</v>
      </c>
      <c r="L379">
        <v>1</v>
      </c>
      <c r="M379">
        <v>4</v>
      </c>
      <c r="N379">
        <v>1</v>
      </c>
      <c r="O379">
        <v>0.2</v>
      </c>
      <c r="P379" t="s">
        <v>64</v>
      </c>
      <c r="Q379" t="s">
        <v>65</v>
      </c>
      <c r="R379" t="s">
        <v>66</v>
      </c>
      <c r="S379" t="s">
        <v>66</v>
      </c>
      <c r="T379">
        <v>1</v>
      </c>
      <c r="U379">
        <v>2</v>
      </c>
      <c r="V379">
        <v>2</v>
      </c>
      <c r="W379">
        <v>0.5</v>
      </c>
      <c r="X379">
        <v>0</v>
      </c>
      <c r="Y379">
        <v>0</v>
      </c>
      <c r="Z379">
        <v>0</v>
      </c>
      <c r="AA379">
        <v>2</v>
      </c>
      <c r="AB379">
        <v>0</v>
      </c>
      <c r="AC379">
        <v>0</v>
      </c>
      <c r="AD379">
        <v>0</v>
      </c>
      <c r="AE379">
        <v>0</v>
      </c>
      <c r="AF379">
        <v>2</v>
      </c>
      <c r="AG379">
        <v>0</v>
      </c>
      <c r="AH379">
        <v>4</v>
      </c>
      <c r="AI379">
        <v>1</v>
      </c>
      <c r="AJ379">
        <v>8</v>
      </c>
      <c r="AK379">
        <v>2</v>
      </c>
      <c r="AL379">
        <v>21</v>
      </c>
      <c r="AM379">
        <v>2</v>
      </c>
      <c r="AN379" t="s">
        <v>1356</v>
      </c>
      <c r="AO379" t="s">
        <v>1357</v>
      </c>
      <c r="AP379">
        <v>0.41499999999999998</v>
      </c>
      <c r="AQ379" t="s">
        <v>69</v>
      </c>
      <c r="AR379">
        <v>29</v>
      </c>
      <c r="AS379">
        <v>4</v>
      </c>
      <c r="AT379">
        <v>2.2839999999999999E-2</v>
      </c>
      <c r="AU379">
        <v>-4.8500000000000001E-3</v>
      </c>
      <c r="AV379">
        <v>0.10538</v>
      </c>
      <c r="AW379">
        <v>-2.299E-2</v>
      </c>
      <c r="AX379">
        <v>2.8900000000000002E-3</v>
      </c>
      <c r="AY379">
        <v>-6.4000000000000005E-4</v>
      </c>
      <c r="AZ379">
        <v>2.741E-2</v>
      </c>
      <c r="BA379">
        <v>1</v>
      </c>
      <c r="BB379" t="s">
        <v>70</v>
      </c>
      <c r="BC379">
        <v>1.167</v>
      </c>
      <c r="BD379">
        <v>0.66400000000000003</v>
      </c>
      <c r="BE379" t="s">
        <v>71</v>
      </c>
    </row>
    <row r="380" spans="1:57">
      <c r="A380">
        <v>1387</v>
      </c>
      <c r="B380" t="s">
        <v>1365</v>
      </c>
      <c r="D380" t="s">
        <v>60</v>
      </c>
      <c r="E380" t="s">
        <v>1366</v>
      </c>
      <c r="F380" t="s">
        <v>1367</v>
      </c>
      <c r="G380">
        <v>85</v>
      </c>
      <c r="H380" t="s">
        <v>63</v>
      </c>
      <c r="I380">
        <v>5</v>
      </c>
      <c r="J380" t="str">
        <f>HYPERLINK("Gene1387-zp_tree_all.dnd", "Gene1387-tree")</f>
        <v>Gene1387-tree</v>
      </c>
      <c r="K380">
        <v>5</v>
      </c>
      <c r="L380">
        <v>0</v>
      </c>
      <c r="M380">
        <v>4</v>
      </c>
      <c r="N380">
        <v>0</v>
      </c>
      <c r="O380">
        <v>0</v>
      </c>
      <c r="P380" t="s">
        <v>135</v>
      </c>
      <c r="Q380" t="s">
        <v>66</v>
      </c>
      <c r="R380" t="s">
        <v>66</v>
      </c>
      <c r="S380" t="s">
        <v>66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2</v>
      </c>
      <c r="AI380">
        <v>1</v>
      </c>
      <c r="AJ380">
        <v>2</v>
      </c>
      <c r="AK380">
        <v>0</v>
      </c>
      <c r="AL380">
        <v>3</v>
      </c>
      <c r="AM380">
        <v>0</v>
      </c>
      <c r="AN380" t="s">
        <v>68</v>
      </c>
      <c r="AO380" t="s">
        <v>68</v>
      </c>
      <c r="AP380">
        <v>0</v>
      </c>
      <c r="AQ380" t="s">
        <v>69</v>
      </c>
      <c r="AR380">
        <v>5</v>
      </c>
      <c r="AS380">
        <v>0</v>
      </c>
      <c r="AT380">
        <v>1.176E-2</v>
      </c>
      <c r="AU380">
        <v>-2.4499999999999999E-3</v>
      </c>
      <c r="AV380">
        <v>6.1960000000000001E-2</v>
      </c>
      <c r="AW380">
        <v>-1.32E-2</v>
      </c>
      <c r="AX380">
        <v>0</v>
      </c>
      <c r="AY380">
        <v>0</v>
      </c>
      <c r="AZ380">
        <v>0</v>
      </c>
      <c r="BA380">
        <v>1</v>
      </c>
      <c r="BB380" t="s">
        <v>70</v>
      </c>
      <c r="BC380">
        <v>0.56200000000000006</v>
      </c>
      <c r="BD380">
        <v>0.56200000000000006</v>
      </c>
      <c r="BE380" t="s">
        <v>71</v>
      </c>
    </row>
    <row r="381" spans="1:57">
      <c r="A381">
        <v>1390</v>
      </c>
      <c r="B381" t="s">
        <v>1372</v>
      </c>
      <c r="D381" t="s">
        <v>60</v>
      </c>
      <c r="E381" t="s">
        <v>1373</v>
      </c>
      <c r="F381" t="s">
        <v>787</v>
      </c>
      <c r="G381">
        <v>145</v>
      </c>
      <c r="H381" t="s">
        <v>63</v>
      </c>
      <c r="I381">
        <v>5</v>
      </c>
      <c r="J381" t="str">
        <f>HYPERLINK("Gene1390-zp_tree_all.dnd", "Gene1390-tree")</f>
        <v>Gene1390-tree</v>
      </c>
      <c r="K381">
        <v>4</v>
      </c>
      <c r="L381">
        <v>1</v>
      </c>
      <c r="M381">
        <v>4</v>
      </c>
      <c r="N381">
        <v>1</v>
      </c>
      <c r="O381">
        <v>0.2</v>
      </c>
      <c r="P381" t="s">
        <v>64</v>
      </c>
      <c r="Q381" t="s">
        <v>65</v>
      </c>
      <c r="R381" t="s">
        <v>66</v>
      </c>
      <c r="S381" t="s">
        <v>66</v>
      </c>
      <c r="T381">
        <v>0</v>
      </c>
      <c r="U381">
        <v>0</v>
      </c>
      <c r="V381">
        <v>2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2</v>
      </c>
      <c r="AG381">
        <v>0</v>
      </c>
      <c r="AH381">
        <v>4</v>
      </c>
      <c r="AI381">
        <v>2</v>
      </c>
      <c r="AJ381">
        <v>8</v>
      </c>
      <c r="AK381">
        <v>2</v>
      </c>
      <c r="AL381">
        <v>9</v>
      </c>
      <c r="AM381">
        <v>0</v>
      </c>
      <c r="AN381" t="s">
        <v>1374</v>
      </c>
      <c r="AO381" t="s">
        <v>68</v>
      </c>
      <c r="AP381">
        <v>0.63900000000000001</v>
      </c>
      <c r="AQ381" t="s">
        <v>69</v>
      </c>
      <c r="AR381">
        <v>17</v>
      </c>
      <c r="AS381">
        <v>2</v>
      </c>
      <c r="AT381">
        <v>2.1610000000000001E-2</v>
      </c>
      <c r="AU381">
        <v>-3.5200000000000001E-3</v>
      </c>
      <c r="AV381">
        <v>0.10068000000000001</v>
      </c>
      <c r="AW381">
        <v>-1.7170000000000001E-2</v>
      </c>
      <c r="AX381">
        <v>2.3500000000000001E-3</v>
      </c>
      <c r="AY381">
        <v>-9.1E-4</v>
      </c>
      <c r="AZ381">
        <v>2.333E-2</v>
      </c>
      <c r="BA381">
        <v>1</v>
      </c>
      <c r="BB381" t="s">
        <v>70</v>
      </c>
      <c r="BC381">
        <v>0.22700000000000001</v>
      </c>
      <c r="BD381">
        <v>0.22700000000000001</v>
      </c>
      <c r="BE381" t="s">
        <v>71</v>
      </c>
    </row>
    <row r="382" spans="1:57">
      <c r="A382">
        <v>1396</v>
      </c>
      <c r="B382" t="s">
        <v>1384</v>
      </c>
      <c r="D382" t="s">
        <v>60</v>
      </c>
      <c r="E382" t="s">
        <v>1385</v>
      </c>
      <c r="F382" t="s">
        <v>1386</v>
      </c>
      <c r="G382">
        <v>149</v>
      </c>
      <c r="H382" t="s">
        <v>63</v>
      </c>
      <c r="I382">
        <v>5</v>
      </c>
      <c r="J382" t="str">
        <f>HYPERLINK("Gene1396-zp_tree_all.dnd", "Gene1396-tree")</f>
        <v>Gene1396-tree</v>
      </c>
      <c r="K382">
        <v>3</v>
      </c>
      <c r="L382">
        <v>2</v>
      </c>
      <c r="M382">
        <v>3</v>
      </c>
      <c r="N382">
        <v>2</v>
      </c>
      <c r="O382">
        <v>0.4</v>
      </c>
      <c r="P382" t="s">
        <v>86</v>
      </c>
      <c r="Q382" t="s">
        <v>124</v>
      </c>
      <c r="R382" t="s">
        <v>66</v>
      </c>
      <c r="S382" t="s">
        <v>66</v>
      </c>
      <c r="T382">
        <v>1</v>
      </c>
      <c r="U382">
        <v>2</v>
      </c>
      <c r="V382">
        <v>1</v>
      </c>
      <c r="W382">
        <v>0.66666999999999998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2</v>
      </c>
      <c r="AG382">
        <v>0</v>
      </c>
      <c r="AH382">
        <v>5</v>
      </c>
      <c r="AI382">
        <v>2</v>
      </c>
      <c r="AJ382">
        <v>12</v>
      </c>
      <c r="AK382">
        <v>2</v>
      </c>
      <c r="AL382">
        <v>11</v>
      </c>
      <c r="AM382">
        <v>1</v>
      </c>
      <c r="AN382" t="s">
        <v>1387</v>
      </c>
      <c r="AO382" t="s">
        <v>1388</v>
      </c>
      <c r="AP382">
        <v>0.46400000000000002</v>
      </c>
      <c r="AQ382" t="s">
        <v>69</v>
      </c>
      <c r="AR382">
        <v>23</v>
      </c>
      <c r="AS382">
        <v>3</v>
      </c>
      <c r="AT382">
        <v>2.7959999999999999E-2</v>
      </c>
      <c r="AU382">
        <v>-4.0299999999999997E-3</v>
      </c>
      <c r="AV382">
        <v>0.12192</v>
      </c>
      <c r="AW382">
        <v>-1.9019999999999999E-2</v>
      </c>
      <c r="AX382">
        <v>3.2100000000000002E-3</v>
      </c>
      <c r="AY382">
        <v>-5.0000000000000001E-4</v>
      </c>
      <c r="AZ382">
        <v>2.631E-2</v>
      </c>
      <c r="BA382">
        <v>1</v>
      </c>
      <c r="BB382" t="s">
        <v>70</v>
      </c>
      <c r="BC382">
        <v>0.31</v>
      </c>
      <c r="BD382">
        <v>0</v>
      </c>
      <c r="BE382" t="s">
        <v>71</v>
      </c>
    </row>
    <row r="383" spans="1:57">
      <c r="A383">
        <v>1401</v>
      </c>
      <c r="B383" t="s">
        <v>1389</v>
      </c>
      <c r="D383" t="s">
        <v>60</v>
      </c>
      <c r="E383" t="s">
        <v>1390</v>
      </c>
      <c r="F383" t="s">
        <v>1391</v>
      </c>
      <c r="G383">
        <v>399</v>
      </c>
      <c r="H383" t="s">
        <v>85</v>
      </c>
      <c r="I383">
        <v>4</v>
      </c>
      <c r="J383" t="str">
        <f>HYPERLINK("Gene1401-zp_tree_all.dnd", "Gene1401-tree")</f>
        <v>Gene1401-tree</v>
      </c>
      <c r="K383">
        <v>0</v>
      </c>
      <c r="L383">
        <v>4</v>
      </c>
      <c r="M383">
        <v>0</v>
      </c>
      <c r="N383">
        <v>4</v>
      </c>
      <c r="O383">
        <v>1</v>
      </c>
      <c r="P383" t="s">
        <v>66</v>
      </c>
      <c r="Q383" t="s">
        <v>64</v>
      </c>
      <c r="R383" t="s">
        <v>66</v>
      </c>
      <c r="S383" t="s">
        <v>66</v>
      </c>
      <c r="T383">
        <v>2</v>
      </c>
      <c r="U383">
        <v>4</v>
      </c>
      <c r="V383">
        <v>25</v>
      </c>
      <c r="W383">
        <v>0.13793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4</v>
      </c>
      <c r="AE383">
        <v>4</v>
      </c>
      <c r="AF383">
        <v>25</v>
      </c>
      <c r="AG383">
        <v>0.13793</v>
      </c>
      <c r="AH383">
        <v>4</v>
      </c>
      <c r="AI383">
        <v>1</v>
      </c>
      <c r="AJ383">
        <v>38</v>
      </c>
      <c r="AK383">
        <v>29</v>
      </c>
      <c r="AL383">
        <v>1</v>
      </c>
      <c r="AM383">
        <v>1</v>
      </c>
      <c r="AN383" t="s">
        <v>1392</v>
      </c>
      <c r="AO383" t="s">
        <v>1393</v>
      </c>
      <c r="AP383">
        <v>0.36</v>
      </c>
      <c r="AQ383" t="s">
        <v>69</v>
      </c>
      <c r="AR383">
        <v>39</v>
      </c>
      <c r="AS383">
        <v>30</v>
      </c>
      <c r="AT383">
        <v>2.8410000000000001E-2</v>
      </c>
      <c r="AU383">
        <v>-6.8100000000000001E-3</v>
      </c>
      <c r="AV383">
        <v>7.7729999999999994E-2</v>
      </c>
      <c r="AW383">
        <v>-2.1440000000000001E-2</v>
      </c>
      <c r="AX383">
        <v>1.635E-2</v>
      </c>
      <c r="AY383">
        <v>-3.5200000000000001E-3</v>
      </c>
      <c r="AZ383">
        <v>0.21038000000000001</v>
      </c>
      <c r="BA383">
        <v>1</v>
      </c>
      <c r="BB383" t="s">
        <v>70</v>
      </c>
      <c r="BC383">
        <v>-0.628</v>
      </c>
      <c r="BD383">
        <v>-0.77300000000000002</v>
      </c>
      <c r="BE383" t="s">
        <v>71</v>
      </c>
    </row>
    <row r="384" spans="1:57">
      <c r="A384">
        <v>1414</v>
      </c>
      <c r="B384" t="s">
        <v>1398</v>
      </c>
      <c r="D384" t="s">
        <v>60</v>
      </c>
      <c r="E384" t="s">
        <v>1399</v>
      </c>
      <c r="F384" t="s">
        <v>1400</v>
      </c>
      <c r="G384">
        <v>288</v>
      </c>
      <c r="H384" t="s">
        <v>63</v>
      </c>
      <c r="I384">
        <v>5</v>
      </c>
      <c r="J384" t="str">
        <f>HYPERLINK("Gene1414-zp_tree_all.dnd", "Gene1414-tree")</f>
        <v>Gene1414-tree</v>
      </c>
      <c r="K384">
        <v>4</v>
      </c>
      <c r="L384">
        <v>1</v>
      </c>
      <c r="M384">
        <v>4</v>
      </c>
      <c r="N384">
        <v>1</v>
      </c>
      <c r="O384">
        <v>0.2</v>
      </c>
      <c r="P384" t="s">
        <v>64</v>
      </c>
      <c r="Q384" t="s">
        <v>65</v>
      </c>
      <c r="R384" t="s">
        <v>66</v>
      </c>
      <c r="S384" t="s">
        <v>66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5</v>
      </c>
      <c r="AI384">
        <v>2</v>
      </c>
      <c r="AJ384">
        <v>20</v>
      </c>
      <c r="AK384">
        <v>1</v>
      </c>
      <c r="AL384">
        <v>24</v>
      </c>
      <c r="AM384">
        <v>0</v>
      </c>
      <c r="AN384" t="s">
        <v>1401</v>
      </c>
      <c r="AO384" t="s">
        <v>68</v>
      </c>
      <c r="AP384">
        <v>0.503</v>
      </c>
      <c r="AQ384" t="s">
        <v>69</v>
      </c>
      <c r="AR384">
        <v>44</v>
      </c>
      <c r="AS384">
        <v>1</v>
      </c>
      <c r="AT384">
        <v>2.581E-2</v>
      </c>
      <c r="AU384">
        <v>-4.7800000000000004E-3</v>
      </c>
      <c r="AV384">
        <v>0.13741</v>
      </c>
      <c r="AW384">
        <v>-2.7009999999999999E-2</v>
      </c>
      <c r="AX384">
        <v>5.9000000000000003E-4</v>
      </c>
      <c r="AY384">
        <v>-1.8000000000000001E-4</v>
      </c>
      <c r="AZ384">
        <v>4.2599999999999999E-3</v>
      </c>
      <c r="BA384">
        <v>1</v>
      </c>
      <c r="BB384" t="s">
        <v>70</v>
      </c>
      <c r="BC384">
        <v>0.79900000000000004</v>
      </c>
      <c r="BD384">
        <v>0.46300000000000002</v>
      </c>
      <c r="BE384" t="s">
        <v>71</v>
      </c>
    </row>
    <row r="385" spans="1:57">
      <c r="A385">
        <v>1415</v>
      </c>
      <c r="B385" t="s">
        <v>1402</v>
      </c>
      <c r="D385" t="s">
        <v>60</v>
      </c>
      <c r="E385" t="s">
        <v>1403</v>
      </c>
      <c r="F385" t="s">
        <v>1404</v>
      </c>
      <c r="G385">
        <v>699</v>
      </c>
      <c r="H385" t="s">
        <v>85</v>
      </c>
      <c r="I385">
        <v>4</v>
      </c>
      <c r="J385" t="str">
        <f>HYPERLINK("Gene1415-zp_tree_all.dnd", "Gene1415-tree")</f>
        <v>Gene1415-tree</v>
      </c>
      <c r="K385">
        <v>2</v>
      </c>
      <c r="L385">
        <v>2</v>
      </c>
      <c r="M385">
        <v>2</v>
      </c>
      <c r="N385">
        <v>2</v>
      </c>
      <c r="O385">
        <v>0.5</v>
      </c>
      <c r="P385" t="s">
        <v>124</v>
      </c>
      <c r="Q385" t="s">
        <v>124</v>
      </c>
      <c r="R385" t="s">
        <v>66</v>
      </c>
      <c r="S385" t="s">
        <v>66</v>
      </c>
      <c r="T385">
        <v>0</v>
      </c>
      <c r="U385">
        <v>0</v>
      </c>
      <c r="V385">
        <v>10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10</v>
      </c>
      <c r="AG385">
        <v>0</v>
      </c>
      <c r="AH385">
        <v>4</v>
      </c>
      <c r="AI385">
        <v>1</v>
      </c>
      <c r="AJ385">
        <v>102</v>
      </c>
      <c r="AK385">
        <v>10</v>
      </c>
      <c r="AL385">
        <v>2</v>
      </c>
      <c r="AM385">
        <v>1</v>
      </c>
      <c r="AN385" t="s">
        <v>1405</v>
      </c>
      <c r="AO385" t="s">
        <v>1406</v>
      </c>
      <c r="AP385">
        <v>2.2570000000000001</v>
      </c>
      <c r="AQ385" t="s">
        <v>69</v>
      </c>
      <c r="AR385">
        <v>104</v>
      </c>
      <c r="AS385">
        <v>11</v>
      </c>
      <c r="AT385">
        <v>2.75E-2</v>
      </c>
      <c r="AU385">
        <v>-8.2799999999999992E-3</v>
      </c>
      <c r="AV385">
        <v>0.1166</v>
      </c>
      <c r="AW385">
        <v>-3.6170000000000001E-2</v>
      </c>
      <c r="AX385">
        <v>3.5699999999999998E-3</v>
      </c>
      <c r="AY385">
        <v>-1.1299999999999999E-3</v>
      </c>
      <c r="AZ385">
        <v>3.0589999999999999E-2</v>
      </c>
      <c r="BA385">
        <v>1</v>
      </c>
      <c r="BB385" t="s">
        <v>70</v>
      </c>
      <c r="BC385">
        <v>-0.76</v>
      </c>
      <c r="BD385">
        <v>-0.76</v>
      </c>
      <c r="BE385" t="s">
        <v>71</v>
      </c>
    </row>
    <row r="386" spans="1:57">
      <c r="A386">
        <v>1417</v>
      </c>
      <c r="B386" t="s">
        <v>1410</v>
      </c>
      <c r="D386" t="s">
        <v>60</v>
      </c>
      <c r="E386" t="s">
        <v>1411</v>
      </c>
      <c r="F386" t="s">
        <v>1412</v>
      </c>
      <c r="G386">
        <v>570</v>
      </c>
      <c r="H386" t="s">
        <v>63</v>
      </c>
      <c r="I386">
        <v>5</v>
      </c>
      <c r="J386" t="str">
        <f>HYPERLINK("Gene1417-zp_tree_all.dnd", "Gene1417-tree")</f>
        <v>Gene1417-tree</v>
      </c>
      <c r="K386">
        <v>3</v>
      </c>
      <c r="L386">
        <v>2</v>
      </c>
      <c r="M386">
        <v>3</v>
      </c>
      <c r="N386">
        <v>2</v>
      </c>
      <c r="O386">
        <v>0.4</v>
      </c>
      <c r="P386" t="s">
        <v>86</v>
      </c>
      <c r="Q386" t="s">
        <v>124</v>
      </c>
      <c r="R386" t="s">
        <v>66</v>
      </c>
      <c r="S386" t="s">
        <v>66</v>
      </c>
      <c r="T386">
        <v>0</v>
      </c>
      <c r="U386">
        <v>0</v>
      </c>
      <c r="V386">
        <v>2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2</v>
      </c>
      <c r="AG386">
        <v>0</v>
      </c>
      <c r="AH386">
        <v>5</v>
      </c>
      <c r="AI386">
        <v>2</v>
      </c>
      <c r="AJ386">
        <v>37</v>
      </c>
      <c r="AK386">
        <v>2</v>
      </c>
      <c r="AL386">
        <v>30</v>
      </c>
      <c r="AM386">
        <v>0</v>
      </c>
      <c r="AN386" t="s">
        <v>1413</v>
      </c>
      <c r="AO386" t="s">
        <v>68</v>
      </c>
      <c r="AP386">
        <v>1.27</v>
      </c>
      <c r="AQ386" t="s">
        <v>69</v>
      </c>
      <c r="AR386">
        <v>67</v>
      </c>
      <c r="AS386">
        <v>2</v>
      </c>
      <c r="AT386">
        <v>1.865E-2</v>
      </c>
      <c r="AU386">
        <v>-2.3800000000000002E-3</v>
      </c>
      <c r="AV386">
        <v>8.5120000000000001E-2</v>
      </c>
      <c r="AW386">
        <v>-1.1390000000000001E-2</v>
      </c>
      <c r="AX386">
        <v>6.0999999999999997E-4</v>
      </c>
      <c r="AY386">
        <v>-1.3999999999999999E-4</v>
      </c>
      <c r="AZ386">
        <v>7.1300000000000001E-3</v>
      </c>
      <c r="BA386">
        <v>1</v>
      </c>
      <c r="BB386" t="s">
        <v>70</v>
      </c>
      <c r="BC386">
        <v>0.29099999999999998</v>
      </c>
      <c r="BD386">
        <v>6.9000000000000006E-2</v>
      </c>
      <c r="BE386" t="s">
        <v>71</v>
      </c>
    </row>
    <row r="387" spans="1:57">
      <c r="A387">
        <v>1425</v>
      </c>
      <c r="B387" t="s">
        <v>1414</v>
      </c>
      <c r="D387" t="s">
        <v>60</v>
      </c>
      <c r="E387" t="s">
        <v>1415</v>
      </c>
      <c r="F387" t="s">
        <v>1416</v>
      </c>
      <c r="G387">
        <v>606</v>
      </c>
      <c r="H387" t="s">
        <v>63</v>
      </c>
      <c r="I387">
        <v>5</v>
      </c>
      <c r="J387" t="str">
        <f>HYPERLINK("Gene1425-zp_tree_all.dnd", "Gene1425-tree")</f>
        <v>Gene1425-tree</v>
      </c>
      <c r="K387">
        <v>1</v>
      </c>
      <c r="L387">
        <v>4</v>
      </c>
      <c r="M387">
        <v>1</v>
      </c>
      <c r="N387">
        <v>4</v>
      </c>
      <c r="O387">
        <v>0.8</v>
      </c>
      <c r="P387" t="s">
        <v>65</v>
      </c>
      <c r="Q387" t="s">
        <v>64</v>
      </c>
      <c r="R387" t="s">
        <v>66</v>
      </c>
      <c r="S387" t="s">
        <v>66</v>
      </c>
      <c r="T387">
        <v>1</v>
      </c>
      <c r="U387">
        <v>2</v>
      </c>
      <c r="V387">
        <v>11</v>
      </c>
      <c r="W387">
        <v>0.15384999999999999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12</v>
      </c>
      <c r="AG387">
        <v>0</v>
      </c>
      <c r="AH387">
        <v>5</v>
      </c>
      <c r="AI387">
        <v>2</v>
      </c>
      <c r="AJ387">
        <v>40</v>
      </c>
      <c r="AK387">
        <v>7</v>
      </c>
      <c r="AL387">
        <v>67</v>
      </c>
      <c r="AM387">
        <v>6</v>
      </c>
      <c r="AN387" t="s">
        <v>1417</v>
      </c>
      <c r="AO387" t="s">
        <v>1418</v>
      </c>
      <c r="AP387">
        <v>0.99199999999999999</v>
      </c>
      <c r="AQ387" t="s">
        <v>69</v>
      </c>
      <c r="AR387">
        <v>107</v>
      </c>
      <c r="AS387">
        <v>13</v>
      </c>
      <c r="AT387">
        <v>3.3059999999999999E-2</v>
      </c>
      <c r="AU387">
        <v>-5.8599999999999998E-3</v>
      </c>
      <c r="AV387">
        <v>0.15734999999999999</v>
      </c>
      <c r="AW387">
        <v>-2.981E-2</v>
      </c>
      <c r="AX387">
        <v>4.2300000000000003E-3</v>
      </c>
      <c r="AY387">
        <v>-6.3000000000000003E-4</v>
      </c>
      <c r="AZ387">
        <v>2.6880000000000001E-2</v>
      </c>
      <c r="BA387">
        <v>1</v>
      </c>
      <c r="BB387" t="s">
        <v>70</v>
      </c>
      <c r="BC387">
        <v>0.89700000000000002</v>
      </c>
      <c r="BD387">
        <v>0.71299999999999997</v>
      </c>
      <c r="BE387" t="s">
        <v>71</v>
      </c>
    </row>
    <row r="388" spans="1:57">
      <c r="A388">
        <v>1438</v>
      </c>
      <c r="B388" t="s">
        <v>1428</v>
      </c>
      <c r="D388" t="s">
        <v>60</v>
      </c>
      <c r="E388" t="s">
        <v>1429</v>
      </c>
      <c r="F388" t="s">
        <v>74</v>
      </c>
      <c r="G388">
        <v>79</v>
      </c>
      <c r="H388" t="s">
        <v>63</v>
      </c>
      <c r="I388">
        <v>5</v>
      </c>
      <c r="J388" t="str">
        <f>HYPERLINK("Gene1438-zp_tree_all.dnd", "Gene1438-tree")</f>
        <v>Gene1438-tree</v>
      </c>
      <c r="K388">
        <v>5</v>
      </c>
      <c r="L388">
        <v>0</v>
      </c>
      <c r="M388">
        <v>5</v>
      </c>
      <c r="N388">
        <v>0</v>
      </c>
      <c r="O388">
        <v>0</v>
      </c>
      <c r="P388" t="s">
        <v>96</v>
      </c>
      <c r="Q388" t="s">
        <v>66</v>
      </c>
      <c r="R388" t="s">
        <v>66</v>
      </c>
      <c r="S388" t="s">
        <v>66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4</v>
      </c>
      <c r="AI388">
        <v>2</v>
      </c>
      <c r="AJ388">
        <v>4</v>
      </c>
      <c r="AK388">
        <v>0</v>
      </c>
      <c r="AL388">
        <v>2</v>
      </c>
      <c r="AM388">
        <v>0</v>
      </c>
      <c r="AN388" t="s">
        <v>68</v>
      </c>
      <c r="AO388" t="s">
        <v>68</v>
      </c>
      <c r="AP388">
        <v>0</v>
      </c>
      <c r="AQ388" t="s">
        <v>69</v>
      </c>
      <c r="AR388">
        <v>6</v>
      </c>
      <c r="AS388">
        <v>0</v>
      </c>
      <c r="AT388">
        <v>1.1809999999999999E-2</v>
      </c>
      <c r="AU388">
        <v>-1.16E-3</v>
      </c>
      <c r="AV388">
        <v>6.0720000000000003E-2</v>
      </c>
      <c r="AW388">
        <v>-6.1599999999999997E-3</v>
      </c>
      <c r="AX388">
        <v>0</v>
      </c>
      <c r="AY388">
        <v>0</v>
      </c>
      <c r="AZ388">
        <v>0</v>
      </c>
      <c r="BA388">
        <v>1</v>
      </c>
      <c r="BB388" t="s">
        <v>70</v>
      </c>
      <c r="BC388">
        <v>-0.191</v>
      </c>
      <c r="BD388">
        <v>-0.191</v>
      </c>
      <c r="BE388" t="s">
        <v>71</v>
      </c>
    </row>
    <row r="389" spans="1:57">
      <c r="A389">
        <v>1439</v>
      </c>
      <c r="B389" t="s">
        <v>1430</v>
      </c>
      <c r="D389" t="s">
        <v>60</v>
      </c>
      <c r="E389" t="s">
        <v>1431</v>
      </c>
      <c r="F389" t="s">
        <v>74</v>
      </c>
      <c r="G389">
        <v>172</v>
      </c>
      <c r="H389" t="s">
        <v>63</v>
      </c>
      <c r="I389">
        <v>5</v>
      </c>
      <c r="J389" t="str">
        <f>HYPERLINK("Gene1439-zp_tree_all.dnd", "Gene1439-tree")</f>
        <v>Gene1439-tree</v>
      </c>
      <c r="K389">
        <v>4</v>
      </c>
      <c r="L389">
        <v>1</v>
      </c>
      <c r="M389">
        <v>4</v>
      </c>
      <c r="N389">
        <v>1</v>
      </c>
      <c r="O389">
        <v>0.2</v>
      </c>
      <c r="P389" t="s">
        <v>64</v>
      </c>
      <c r="Q389" t="s">
        <v>65</v>
      </c>
      <c r="R389" t="s">
        <v>66</v>
      </c>
      <c r="S389" t="s">
        <v>66</v>
      </c>
      <c r="T389">
        <v>0</v>
      </c>
      <c r="U389">
        <v>0</v>
      </c>
      <c r="V389">
        <v>3</v>
      </c>
      <c r="W389">
        <v>0</v>
      </c>
      <c r="X389">
        <v>0</v>
      </c>
      <c r="Y389">
        <v>0</v>
      </c>
      <c r="Z389">
        <v>0</v>
      </c>
      <c r="AA389">
        <v>2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v>0</v>
      </c>
      <c r="AH389">
        <v>4</v>
      </c>
      <c r="AI389">
        <v>1</v>
      </c>
      <c r="AJ389">
        <v>9</v>
      </c>
      <c r="AK389">
        <v>1</v>
      </c>
      <c r="AL389">
        <v>10</v>
      </c>
      <c r="AM389">
        <v>2</v>
      </c>
      <c r="AN389" t="s">
        <v>1432</v>
      </c>
      <c r="AO389" t="s">
        <v>1433</v>
      </c>
      <c r="AP389">
        <v>0.33200000000000002</v>
      </c>
      <c r="AQ389" t="s">
        <v>69</v>
      </c>
      <c r="AR389">
        <v>19</v>
      </c>
      <c r="AS389">
        <v>3</v>
      </c>
      <c r="AT389">
        <v>2.112E-2</v>
      </c>
      <c r="AU389">
        <v>-4.2900000000000004E-3</v>
      </c>
      <c r="AV389">
        <v>8.5559999999999997E-2</v>
      </c>
      <c r="AW389">
        <v>-1.8460000000000001E-2</v>
      </c>
      <c r="AX389">
        <v>4.0400000000000002E-3</v>
      </c>
      <c r="AY389">
        <v>-7.1000000000000002E-4</v>
      </c>
      <c r="AZ389">
        <v>4.7169999999999997E-2</v>
      </c>
      <c r="BA389">
        <v>1</v>
      </c>
      <c r="BB389" t="s">
        <v>70</v>
      </c>
      <c r="BC389">
        <v>0.60199999999999998</v>
      </c>
      <c r="BD389">
        <v>0.23499999999999999</v>
      </c>
      <c r="BE389" t="s">
        <v>71</v>
      </c>
    </row>
    <row r="390" spans="1:57">
      <c r="A390">
        <v>1446</v>
      </c>
      <c r="B390" t="s">
        <v>1436</v>
      </c>
      <c r="D390" t="s">
        <v>60</v>
      </c>
      <c r="E390" t="s">
        <v>1437</v>
      </c>
      <c r="F390" t="s">
        <v>1438</v>
      </c>
      <c r="G390">
        <v>236</v>
      </c>
      <c r="H390" t="s">
        <v>63</v>
      </c>
      <c r="I390">
        <v>5</v>
      </c>
      <c r="J390" t="str">
        <f>HYPERLINK("Gene1446-zp_tree_all.dnd", "Gene1446-tree")</f>
        <v>Gene1446-tree</v>
      </c>
      <c r="K390">
        <v>4</v>
      </c>
      <c r="L390">
        <v>1</v>
      </c>
      <c r="M390">
        <v>4</v>
      </c>
      <c r="N390">
        <v>1</v>
      </c>
      <c r="O390">
        <v>0.2</v>
      </c>
      <c r="P390" t="s">
        <v>64</v>
      </c>
      <c r="Q390" t="s">
        <v>65</v>
      </c>
      <c r="R390" t="s">
        <v>66</v>
      </c>
      <c r="S390" t="s">
        <v>66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2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5</v>
      </c>
      <c r="AI390">
        <v>2</v>
      </c>
      <c r="AJ390">
        <v>21</v>
      </c>
      <c r="AK390">
        <v>1</v>
      </c>
      <c r="AL390">
        <v>18</v>
      </c>
      <c r="AM390">
        <v>1</v>
      </c>
      <c r="AN390" t="s">
        <v>1439</v>
      </c>
      <c r="AO390" t="s">
        <v>1440</v>
      </c>
      <c r="AP390">
        <v>4.7E-2</v>
      </c>
      <c r="AQ390" t="s">
        <v>69</v>
      </c>
      <c r="AR390">
        <v>39</v>
      </c>
      <c r="AS390">
        <v>2</v>
      </c>
      <c r="AT390">
        <v>2.7119999999999998E-2</v>
      </c>
      <c r="AU390">
        <v>-4.3800000000000002E-3</v>
      </c>
      <c r="AV390">
        <v>0.12231</v>
      </c>
      <c r="AW390">
        <v>-2.0729999999999998E-2</v>
      </c>
      <c r="AX390">
        <v>1.8400000000000001E-3</v>
      </c>
      <c r="AY390">
        <v>-3.2000000000000003E-4</v>
      </c>
      <c r="AZ390">
        <v>1.508E-2</v>
      </c>
      <c r="BA390">
        <v>1</v>
      </c>
      <c r="BB390" t="s">
        <v>70</v>
      </c>
      <c r="BC390">
        <v>0.83399999999999996</v>
      </c>
      <c r="BD390">
        <v>0.83399999999999996</v>
      </c>
      <c r="BE390" t="s">
        <v>71</v>
      </c>
    </row>
    <row r="391" spans="1:57">
      <c r="A391">
        <v>1448</v>
      </c>
      <c r="B391" t="s">
        <v>1441</v>
      </c>
      <c r="D391" t="s">
        <v>60</v>
      </c>
      <c r="E391" t="s">
        <v>1442</v>
      </c>
      <c r="F391" t="s">
        <v>74</v>
      </c>
      <c r="G391">
        <v>81</v>
      </c>
      <c r="H391" t="s">
        <v>63</v>
      </c>
      <c r="I391">
        <v>5</v>
      </c>
      <c r="J391" t="str">
        <f>HYPERLINK("Gene1448-zp_tree_all.dnd", "Gene1448-tree")</f>
        <v>Gene1448-tree</v>
      </c>
      <c r="K391">
        <v>5</v>
      </c>
      <c r="L391">
        <v>0</v>
      </c>
      <c r="M391">
        <v>5</v>
      </c>
      <c r="N391">
        <v>0</v>
      </c>
      <c r="O391">
        <v>0</v>
      </c>
      <c r="P391" t="s">
        <v>96</v>
      </c>
      <c r="Q391" t="s">
        <v>66</v>
      </c>
      <c r="R391" t="s">
        <v>66</v>
      </c>
      <c r="S391" t="s">
        <v>66</v>
      </c>
      <c r="T391">
        <v>0</v>
      </c>
      <c r="U391">
        <v>0</v>
      </c>
      <c r="V391">
        <v>2</v>
      </c>
      <c r="W391">
        <v>0</v>
      </c>
      <c r="X391">
        <v>0</v>
      </c>
      <c r="Y391">
        <v>0</v>
      </c>
      <c r="Z391">
        <v>0</v>
      </c>
      <c r="AA391">
        <v>2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4</v>
      </c>
      <c r="AI391">
        <v>2</v>
      </c>
      <c r="AJ391">
        <v>6</v>
      </c>
      <c r="AK391">
        <v>0</v>
      </c>
      <c r="AL391">
        <v>5</v>
      </c>
      <c r="AM391">
        <v>2</v>
      </c>
      <c r="AN391" t="s">
        <v>68</v>
      </c>
      <c r="AO391" t="s">
        <v>1443</v>
      </c>
      <c r="AP391">
        <v>1.028</v>
      </c>
      <c r="AQ391" t="s">
        <v>69</v>
      </c>
      <c r="AR391">
        <v>11</v>
      </c>
      <c r="AS391">
        <v>2</v>
      </c>
      <c r="AT391">
        <v>2.716E-2</v>
      </c>
      <c r="AU391">
        <v>-4.0400000000000002E-3</v>
      </c>
      <c r="AV391">
        <v>0.11242000000000001</v>
      </c>
      <c r="AW391">
        <v>-1.529E-2</v>
      </c>
      <c r="AX391">
        <v>6.3400000000000001E-3</v>
      </c>
      <c r="AY391">
        <v>-1.5100000000000001E-3</v>
      </c>
      <c r="AZ391">
        <v>5.6399999999999999E-2</v>
      </c>
      <c r="BA391">
        <v>1</v>
      </c>
      <c r="BB391" t="s">
        <v>70</v>
      </c>
      <c r="BC391">
        <v>0.41899999999999998</v>
      </c>
      <c r="BD391">
        <v>0.41899999999999998</v>
      </c>
      <c r="BE391" t="s">
        <v>71</v>
      </c>
    </row>
    <row r="392" spans="1:57">
      <c r="A392">
        <v>1464</v>
      </c>
      <c r="B392" t="s">
        <v>1447</v>
      </c>
      <c r="D392" t="s">
        <v>60</v>
      </c>
      <c r="E392" t="s">
        <v>1448</v>
      </c>
      <c r="F392" t="s">
        <v>560</v>
      </c>
      <c r="G392">
        <v>230</v>
      </c>
      <c r="H392" t="s">
        <v>85</v>
      </c>
      <c r="I392">
        <v>4</v>
      </c>
      <c r="J392" t="str">
        <f>HYPERLINK("Gene1464-zp_tree_all.dnd", "Gene1464-tree")</f>
        <v>Gene1464-tree</v>
      </c>
      <c r="K392">
        <v>0</v>
      </c>
      <c r="L392">
        <v>4</v>
      </c>
      <c r="M392">
        <v>0</v>
      </c>
      <c r="N392">
        <v>4</v>
      </c>
      <c r="O392">
        <v>1</v>
      </c>
      <c r="P392" t="s">
        <v>66</v>
      </c>
      <c r="Q392" t="s">
        <v>64</v>
      </c>
      <c r="R392" t="s">
        <v>66</v>
      </c>
      <c r="S392" t="s">
        <v>66</v>
      </c>
      <c r="T392">
        <v>0</v>
      </c>
      <c r="U392">
        <v>0</v>
      </c>
      <c r="V392">
        <v>8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8</v>
      </c>
      <c r="AG392">
        <v>0</v>
      </c>
      <c r="AH392">
        <v>3</v>
      </c>
      <c r="AI392">
        <v>1</v>
      </c>
      <c r="AJ392">
        <v>26</v>
      </c>
      <c r="AK392">
        <v>7</v>
      </c>
      <c r="AL392">
        <v>4</v>
      </c>
      <c r="AM392">
        <v>1</v>
      </c>
      <c r="AN392" t="s">
        <v>1449</v>
      </c>
      <c r="AO392" t="s">
        <v>1450</v>
      </c>
      <c r="AP392">
        <v>4.8000000000000001E-2</v>
      </c>
      <c r="AQ392" t="s">
        <v>69</v>
      </c>
      <c r="AR392">
        <v>30</v>
      </c>
      <c r="AS392">
        <v>8</v>
      </c>
      <c r="AT392">
        <v>2.826E-2</v>
      </c>
      <c r="AU392">
        <v>-6.0400000000000002E-3</v>
      </c>
      <c r="AV392">
        <v>0.10481</v>
      </c>
      <c r="AW392">
        <v>-2.6100000000000002E-2</v>
      </c>
      <c r="AX392">
        <v>7.92E-3</v>
      </c>
      <c r="AY392">
        <v>-1.2199999999999999E-3</v>
      </c>
      <c r="AZ392">
        <v>7.5560000000000002E-2</v>
      </c>
      <c r="BA392">
        <v>1</v>
      </c>
      <c r="BB392" t="s">
        <v>70</v>
      </c>
      <c r="BC392">
        <v>-0.35</v>
      </c>
      <c r="BD392">
        <v>-0.60699999999999998</v>
      </c>
      <c r="BE392" t="s">
        <v>71</v>
      </c>
    </row>
    <row r="393" spans="1:57">
      <c r="A393">
        <v>1466</v>
      </c>
      <c r="B393" t="s">
        <v>1451</v>
      </c>
      <c r="D393" t="s">
        <v>60</v>
      </c>
      <c r="E393" t="s">
        <v>1452</v>
      </c>
      <c r="F393" t="s">
        <v>1453</v>
      </c>
      <c r="G393">
        <v>251</v>
      </c>
      <c r="H393" t="s">
        <v>63</v>
      </c>
      <c r="I393">
        <v>5</v>
      </c>
      <c r="J393" t="str">
        <f>HYPERLINK("Gene1466-zp_tree_all.dnd", "Gene1466-tree")</f>
        <v>Gene1466-tree</v>
      </c>
      <c r="K393">
        <v>4</v>
      </c>
      <c r="L393">
        <v>1</v>
      </c>
      <c r="M393">
        <v>4</v>
      </c>
      <c r="N393">
        <v>1</v>
      </c>
      <c r="O393">
        <v>0.2</v>
      </c>
      <c r="P393" t="s">
        <v>64</v>
      </c>
      <c r="Q393" t="s">
        <v>65</v>
      </c>
      <c r="R393" t="s">
        <v>66</v>
      </c>
      <c r="S393" t="s">
        <v>66</v>
      </c>
      <c r="T393">
        <v>0</v>
      </c>
      <c r="U393">
        <v>0</v>
      </c>
      <c r="V393">
        <v>6</v>
      </c>
      <c r="W393">
        <v>0</v>
      </c>
      <c r="X393">
        <v>0</v>
      </c>
      <c r="Y393">
        <v>0</v>
      </c>
      <c r="Z393">
        <v>0</v>
      </c>
      <c r="AA393">
        <v>5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0</v>
      </c>
      <c r="AH393">
        <v>5</v>
      </c>
      <c r="AI393">
        <v>2</v>
      </c>
      <c r="AJ393">
        <v>10</v>
      </c>
      <c r="AK393">
        <v>1</v>
      </c>
      <c r="AL393">
        <v>20</v>
      </c>
      <c r="AM393">
        <v>5</v>
      </c>
      <c r="AN393" t="s">
        <v>1454</v>
      </c>
      <c r="AO393" t="s">
        <v>1455</v>
      </c>
      <c r="AP393">
        <v>0.372</v>
      </c>
      <c r="AQ393" t="s">
        <v>69</v>
      </c>
      <c r="AR393">
        <v>30</v>
      </c>
      <c r="AS393">
        <v>6</v>
      </c>
      <c r="AT393">
        <v>2.4969999999999999E-2</v>
      </c>
      <c r="AU393">
        <v>-5.0099999999999997E-3</v>
      </c>
      <c r="AV393">
        <v>9.8150000000000001E-2</v>
      </c>
      <c r="AW393">
        <v>-1.9789999999999999E-2</v>
      </c>
      <c r="AX393">
        <v>5.8799999999999998E-3</v>
      </c>
      <c r="AY393">
        <v>-1.1900000000000001E-3</v>
      </c>
      <c r="AZ393">
        <v>5.9950000000000003E-2</v>
      </c>
      <c r="BA393">
        <v>1</v>
      </c>
      <c r="BB393" t="s">
        <v>70</v>
      </c>
      <c r="BC393">
        <v>1.139</v>
      </c>
      <c r="BD393">
        <v>0.95599999999999996</v>
      </c>
      <c r="BE393" t="s">
        <v>71</v>
      </c>
    </row>
    <row r="394" spans="1:57">
      <c r="A394">
        <v>1467</v>
      </c>
      <c r="B394" t="s">
        <v>1456</v>
      </c>
      <c r="D394" t="s">
        <v>60</v>
      </c>
      <c r="E394" t="s">
        <v>1457</v>
      </c>
      <c r="F394" t="s">
        <v>1458</v>
      </c>
      <c r="G394">
        <v>303</v>
      </c>
      <c r="H394" t="s">
        <v>85</v>
      </c>
      <c r="I394">
        <v>4</v>
      </c>
      <c r="J394" t="str">
        <f>HYPERLINK("Gene1467-zp_tree_all.dnd", "Gene1467-tree")</f>
        <v>Gene1467-tree</v>
      </c>
      <c r="K394">
        <v>2</v>
      </c>
      <c r="L394">
        <v>2</v>
      </c>
      <c r="M394">
        <v>2</v>
      </c>
      <c r="N394">
        <v>2</v>
      </c>
      <c r="O394">
        <v>0.5</v>
      </c>
      <c r="P394" t="s">
        <v>124</v>
      </c>
      <c r="Q394" t="s">
        <v>124</v>
      </c>
      <c r="R394" t="s">
        <v>66</v>
      </c>
      <c r="S394" t="s">
        <v>66</v>
      </c>
      <c r="T394">
        <v>1</v>
      </c>
      <c r="U394">
        <v>2</v>
      </c>
      <c r="V394">
        <v>4</v>
      </c>
      <c r="W394">
        <v>0.33333000000000002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2</v>
      </c>
      <c r="AE394">
        <v>2</v>
      </c>
      <c r="AF394">
        <v>4</v>
      </c>
      <c r="AG394">
        <v>0.33333000000000002</v>
      </c>
      <c r="AH394">
        <v>3</v>
      </c>
      <c r="AI394">
        <v>1</v>
      </c>
      <c r="AJ394">
        <v>33</v>
      </c>
      <c r="AK394">
        <v>7</v>
      </c>
      <c r="AL394">
        <v>6</v>
      </c>
      <c r="AM394">
        <v>0</v>
      </c>
      <c r="AN394" t="s">
        <v>1459</v>
      </c>
      <c r="AO394" t="s">
        <v>68</v>
      </c>
      <c r="AP394">
        <v>0.72399999999999998</v>
      </c>
      <c r="AQ394" t="s">
        <v>69</v>
      </c>
      <c r="AR394">
        <v>39</v>
      </c>
      <c r="AS394">
        <v>7</v>
      </c>
      <c r="AT394">
        <v>2.6040000000000001E-2</v>
      </c>
      <c r="AU394">
        <v>-6.96E-3</v>
      </c>
      <c r="AV394">
        <v>9.9739999999999995E-2</v>
      </c>
      <c r="AW394">
        <v>-2.6360000000000001E-2</v>
      </c>
      <c r="AX394">
        <v>5.1200000000000004E-3</v>
      </c>
      <c r="AY394">
        <v>-1.72E-3</v>
      </c>
      <c r="AZ394">
        <v>5.135E-2</v>
      </c>
      <c r="BA394">
        <v>1</v>
      </c>
      <c r="BB394" t="s">
        <v>70</v>
      </c>
      <c r="BC394">
        <v>-0.372</v>
      </c>
      <c r="BD394">
        <v>-0.58399999999999996</v>
      </c>
      <c r="BE394" t="s">
        <v>71</v>
      </c>
    </row>
    <row r="395" spans="1:57">
      <c r="A395">
        <v>1469</v>
      </c>
      <c r="B395" t="s">
        <v>1460</v>
      </c>
      <c r="D395" t="s">
        <v>60</v>
      </c>
      <c r="E395" t="s">
        <v>1461</v>
      </c>
      <c r="F395" t="s">
        <v>1462</v>
      </c>
      <c r="G395">
        <v>193</v>
      </c>
      <c r="H395" t="s">
        <v>63</v>
      </c>
      <c r="I395">
        <v>5</v>
      </c>
      <c r="J395" t="str">
        <f>HYPERLINK("Gene1469-zp_tree_all.dnd", "Gene1469-tree")</f>
        <v>Gene1469-tree</v>
      </c>
      <c r="K395">
        <v>4</v>
      </c>
      <c r="L395">
        <v>1</v>
      </c>
      <c r="M395">
        <v>3</v>
      </c>
      <c r="N395">
        <v>1</v>
      </c>
      <c r="O395">
        <v>0.25</v>
      </c>
      <c r="P395" t="s">
        <v>112</v>
      </c>
      <c r="Q395" t="s">
        <v>65</v>
      </c>
      <c r="R395" t="s">
        <v>66</v>
      </c>
      <c r="S395" t="s">
        <v>66</v>
      </c>
      <c r="T395">
        <v>0</v>
      </c>
      <c r="U395">
        <v>0</v>
      </c>
      <c r="V395">
        <v>3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2</v>
      </c>
      <c r="AG395">
        <v>0</v>
      </c>
      <c r="AH395">
        <v>4</v>
      </c>
      <c r="AI395">
        <v>1</v>
      </c>
      <c r="AJ395">
        <v>7</v>
      </c>
      <c r="AK395">
        <v>2</v>
      </c>
      <c r="AL395">
        <v>20</v>
      </c>
      <c r="AM395">
        <v>1</v>
      </c>
      <c r="AN395" t="s">
        <v>1463</v>
      </c>
      <c r="AO395" t="s">
        <v>1464</v>
      </c>
      <c r="AP395">
        <v>0.52100000000000002</v>
      </c>
      <c r="AQ395" t="s">
        <v>69</v>
      </c>
      <c r="AR395">
        <v>27</v>
      </c>
      <c r="AS395">
        <v>3</v>
      </c>
      <c r="AT395">
        <v>3.0800000000000001E-2</v>
      </c>
      <c r="AU395">
        <v>-6.7099999999999998E-3</v>
      </c>
      <c r="AV395">
        <v>0.1356</v>
      </c>
      <c r="AW395">
        <v>-3.1519999999999999E-2</v>
      </c>
      <c r="AX395">
        <v>3.7599999999999999E-3</v>
      </c>
      <c r="AY395">
        <v>-8.0000000000000004E-4</v>
      </c>
      <c r="AZ395">
        <v>2.7720000000000002E-2</v>
      </c>
      <c r="BA395">
        <v>1</v>
      </c>
      <c r="BB395" t="s">
        <v>70</v>
      </c>
      <c r="BC395">
        <v>1.3660000000000001</v>
      </c>
      <c r="BD395">
        <v>1.089</v>
      </c>
      <c r="BE395" t="s">
        <v>71</v>
      </c>
    </row>
    <row r="396" spans="1:57">
      <c r="A396">
        <v>1471</v>
      </c>
      <c r="B396" t="s">
        <v>1465</v>
      </c>
      <c r="D396" t="s">
        <v>60</v>
      </c>
      <c r="E396" t="s">
        <v>1466</v>
      </c>
      <c r="F396" t="s">
        <v>560</v>
      </c>
      <c r="G396">
        <v>540</v>
      </c>
      <c r="H396" t="s">
        <v>85</v>
      </c>
      <c r="I396">
        <v>4</v>
      </c>
      <c r="J396" t="str">
        <f>HYPERLINK("Gene1471-zp_tree_all.dnd", "Gene1471-tree")</f>
        <v>Gene1471-tree</v>
      </c>
      <c r="K396">
        <v>2</v>
      </c>
      <c r="L396">
        <v>2</v>
      </c>
      <c r="M396">
        <v>2</v>
      </c>
      <c r="N396">
        <v>2</v>
      </c>
      <c r="O396">
        <v>0.5</v>
      </c>
      <c r="P396" t="s">
        <v>124</v>
      </c>
      <c r="Q396" t="s">
        <v>124</v>
      </c>
      <c r="R396" t="s">
        <v>66</v>
      </c>
      <c r="S396" t="s">
        <v>66</v>
      </c>
      <c r="T396">
        <v>0</v>
      </c>
      <c r="U396">
        <v>0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4</v>
      </c>
      <c r="AG396">
        <v>0</v>
      </c>
      <c r="AH396">
        <v>4</v>
      </c>
      <c r="AI396">
        <v>1</v>
      </c>
      <c r="AJ396">
        <v>77</v>
      </c>
      <c r="AK396">
        <v>5</v>
      </c>
      <c r="AL396">
        <v>10</v>
      </c>
      <c r="AM396">
        <v>0</v>
      </c>
      <c r="AN396" t="s">
        <v>1467</v>
      </c>
      <c r="AO396" t="s">
        <v>68</v>
      </c>
      <c r="AP396">
        <v>0.53800000000000003</v>
      </c>
      <c r="AQ396" t="s">
        <v>69</v>
      </c>
      <c r="AR396">
        <v>87</v>
      </c>
      <c r="AS396">
        <v>5</v>
      </c>
      <c r="AT396">
        <v>2.8709999999999999E-2</v>
      </c>
      <c r="AU396">
        <v>-7.9500000000000005E-3</v>
      </c>
      <c r="AV396">
        <v>0.14218</v>
      </c>
      <c r="AW396">
        <v>-4.0969999999999999E-2</v>
      </c>
      <c r="AX396">
        <v>1.99E-3</v>
      </c>
      <c r="AY396">
        <v>-6.0999999999999997E-4</v>
      </c>
      <c r="AZ396">
        <v>1.3979999999999999E-2</v>
      </c>
      <c r="BA396">
        <v>1</v>
      </c>
      <c r="BB396" t="s">
        <v>70</v>
      </c>
      <c r="BC396">
        <v>-0.28499999999999998</v>
      </c>
      <c r="BD396">
        <v>-0.65600000000000003</v>
      </c>
      <c r="BE396" t="s">
        <v>71</v>
      </c>
    </row>
    <row r="397" spans="1:57">
      <c r="A397">
        <v>1477</v>
      </c>
      <c r="B397" t="s">
        <v>1470</v>
      </c>
      <c r="D397" t="s">
        <v>60</v>
      </c>
      <c r="E397" t="s">
        <v>1471</v>
      </c>
      <c r="F397" t="s">
        <v>1472</v>
      </c>
      <c r="G397">
        <v>428</v>
      </c>
      <c r="H397" t="s">
        <v>85</v>
      </c>
      <c r="I397">
        <v>4</v>
      </c>
      <c r="J397" t="str">
        <f>HYPERLINK("Gene1477-zp_tree_all.dnd", "Gene1477-tree")</f>
        <v>Gene1477-tree</v>
      </c>
      <c r="K397">
        <v>2</v>
      </c>
      <c r="L397">
        <v>2</v>
      </c>
      <c r="M397">
        <v>2</v>
      </c>
      <c r="N397">
        <v>2</v>
      </c>
      <c r="O397">
        <v>0.5</v>
      </c>
      <c r="P397" t="s">
        <v>124</v>
      </c>
      <c r="Q397" t="s">
        <v>124</v>
      </c>
      <c r="R397" t="s">
        <v>66</v>
      </c>
      <c r="S397" t="s">
        <v>66</v>
      </c>
      <c r="T397">
        <v>0</v>
      </c>
      <c r="U397">
        <v>0</v>
      </c>
      <c r="V397">
        <v>10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10</v>
      </c>
      <c r="AG397">
        <v>0</v>
      </c>
      <c r="AH397">
        <v>4</v>
      </c>
      <c r="AI397">
        <v>1</v>
      </c>
      <c r="AJ397">
        <v>55</v>
      </c>
      <c r="AK397">
        <v>10</v>
      </c>
      <c r="AL397">
        <v>8</v>
      </c>
      <c r="AM397">
        <v>0</v>
      </c>
      <c r="AN397" t="s">
        <v>1473</v>
      </c>
      <c r="AO397" t="s">
        <v>68</v>
      </c>
      <c r="AP397">
        <v>0.52500000000000002</v>
      </c>
      <c r="AQ397" t="s">
        <v>69</v>
      </c>
      <c r="AR397">
        <v>63</v>
      </c>
      <c r="AS397">
        <v>10</v>
      </c>
      <c r="AT397">
        <v>2.869E-2</v>
      </c>
      <c r="AU397">
        <v>-7.8100000000000001E-3</v>
      </c>
      <c r="AV397">
        <v>0.13114999999999999</v>
      </c>
      <c r="AW397">
        <v>-3.5619999999999999E-2</v>
      </c>
      <c r="AX397">
        <v>4.9800000000000001E-3</v>
      </c>
      <c r="AY397">
        <v>-1.7700000000000001E-3</v>
      </c>
      <c r="AZ397">
        <v>3.798E-2</v>
      </c>
      <c r="BA397">
        <v>1</v>
      </c>
      <c r="BB397" t="s">
        <v>70</v>
      </c>
      <c r="BC397">
        <v>-0.36899999999999999</v>
      </c>
      <c r="BD397">
        <v>-0.64200000000000002</v>
      </c>
      <c r="BE397" t="s">
        <v>71</v>
      </c>
    </row>
    <row r="398" spans="1:57">
      <c r="A398">
        <v>1487</v>
      </c>
      <c r="B398" t="s">
        <v>1476</v>
      </c>
      <c r="D398" t="s">
        <v>60</v>
      </c>
      <c r="E398" t="s">
        <v>1477</v>
      </c>
      <c r="F398" t="s">
        <v>1478</v>
      </c>
      <c r="G398">
        <v>371</v>
      </c>
      <c r="H398" t="s">
        <v>63</v>
      </c>
      <c r="I398">
        <v>5</v>
      </c>
      <c r="J398" t="str">
        <f>HYPERLINK("Gene1487-zp_tree_all.dnd", "Gene1487-tree")</f>
        <v>Gene1487-tree</v>
      </c>
      <c r="K398">
        <v>5</v>
      </c>
      <c r="L398">
        <v>0</v>
      </c>
      <c r="M398">
        <v>5</v>
      </c>
      <c r="N398">
        <v>0</v>
      </c>
      <c r="O398">
        <v>0</v>
      </c>
      <c r="P398" t="s">
        <v>96</v>
      </c>
      <c r="Q398" t="s">
        <v>66</v>
      </c>
      <c r="R398" t="s">
        <v>66</v>
      </c>
      <c r="S398" t="s">
        <v>66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5</v>
      </c>
      <c r="AI398">
        <v>2</v>
      </c>
      <c r="AJ398">
        <v>14</v>
      </c>
      <c r="AK398">
        <v>0</v>
      </c>
      <c r="AL398">
        <v>24</v>
      </c>
      <c r="AM398">
        <v>0</v>
      </c>
      <c r="AN398" t="s">
        <v>68</v>
      </c>
      <c r="AO398" t="s">
        <v>68</v>
      </c>
      <c r="AP398">
        <v>0</v>
      </c>
      <c r="AQ398" t="s">
        <v>69</v>
      </c>
      <c r="AR398">
        <v>38</v>
      </c>
      <c r="AS398">
        <v>0</v>
      </c>
      <c r="AT398">
        <v>1.7610000000000001E-2</v>
      </c>
      <c r="AU398">
        <v>-3.2799999999999999E-3</v>
      </c>
      <c r="AV398">
        <v>8.3790000000000003E-2</v>
      </c>
      <c r="AW398">
        <v>-1.6049999999999998E-2</v>
      </c>
      <c r="AX398">
        <v>0</v>
      </c>
      <c r="AY398">
        <v>0</v>
      </c>
      <c r="AZ398">
        <v>0</v>
      </c>
      <c r="BA398">
        <v>1</v>
      </c>
      <c r="BB398" t="s">
        <v>70</v>
      </c>
      <c r="BC398">
        <v>0.77800000000000002</v>
      </c>
      <c r="BD398">
        <v>0.77800000000000002</v>
      </c>
      <c r="BE398" t="s">
        <v>71</v>
      </c>
    </row>
    <row r="399" spans="1:57">
      <c r="A399">
        <v>1488</v>
      </c>
      <c r="B399" t="s">
        <v>1479</v>
      </c>
      <c r="D399" t="s">
        <v>60</v>
      </c>
      <c r="E399" t="s">
        <v>1480</v>
      </c>
      <c r="F399" t="s">
        <v>1481</v>
      </c>
      <c r="G399">
        <v>325</v>
      </c>
      <c r="H399" t="s">
        <v>63</v>
      </c>
      <c r="I399">
        <v>5</v>
      </c>
      <c r="J399" t="str">
        <f>HYPERLINK("Gene1488-zp_tree_all.dnd", "Gene1488-tree")</f>
        <v>Gene1488-tree</v>
      </c>
      <c r="K399">
        <v>3</v>
      </c>
      <c r="L399">
        <v>2</v>
      </c>
      <c r="M399">
        <v>3</v>
      </c>
      <c r="N399">
        <v>2</v>
      </c>
      <c r="O399">
        <v>0.4</v>
      </c>
      <c r="P399" t="s">
        <v>86</v>
      </c>
      <c r="Q399" t="s">
        <v>124</v>
      </c>
      <c r="R399" t="s">
        <v>66</v>
      </c>
      <c r="S399" t="s">
        <v>66</v>
      </c>
      <c r="T399">
        <v>0</v>
      </c>
      <c r="U399">
        <v>0</v>
      </c>
      <c r="V399">
        <v>2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2</v>
      </c>
      <c r="AG399">
        <v>0</v>
      </c>
      <c r="AH399">
        <v>5</v>
      </c>
      <c r="AI399">
        <v>2</v>
      </c>
      <c r="AJ399">
        <v>19</v>
      </c>
      <c r="AK399">
        <v>2</v>
      </c>
      <c r="AL399">
        <v>23</v>
      </c>
      <c r="AM399">
        <v>0</v>
      </c>
      <c r="AN399" t="s">
        <v>1482</v>
      </c>
      <c r="AO399" t="s">
        <v>68</v>
      </c>
      <c r="AP399">
        <v>1.1910000000000001</v>
      </c>
      <c r="AQ399" t="s">
        <v>69</v>
      </c>
      <c r="AR399">
        <v>42</v>
      </c>
      <c r="AS399">
        <v>2</v>
      </c>
      <c r="AT399">
        <v>2.1950000000000001E-2</v>
      </c>
      <c r="AU399">
        <v>-3.7699999999999999E-3</v>
      </c>
      <c r="AV399">
        <v>9.5820000000000002E-2</v>
      </c>
      <c r="AW399">
        <v>-1.7469999999999999E-2</v>
      </c>
      <c r="AX399">
        <v>1.08E-3</v>
      </c>
      <c r="AY399">
        <v>-2.5999999999999998E-4</v>
      </c>
      <c r="AZ399">
        <v>1.128E-2</v>
      </c>
      <c r="BA399">
        <v>1</v>
      </c>
      <c r="BB399" t="s">
        <v>70</v>
      </c>
      <c r="BC399">
        <v>0.65800000000000003</v>
      </c>
      <c r="BD399">
        <v>0.122</v>
      </c>
      <c r="BE399" t="s">
        <v>71</v>
      </c>
    </row>
    <row r="400" spans="1:57">
      <c r="A400">
        <v>1489</v>
      </c>
      <c r="B400" t="s">
        <v>1483</v>
      </c>
      <c r="D400" t="s">
        <v>60</v>
      </c>
      <c r="E400" t="s">
        <v>1484</v>
      </c>
      <c r="F400" t="s">
        <v>1485</v>
      </c>
      <c r="G400">
        <v>442</v>
      </c>
      <c r="H400" t="s">
        <v>63</v>
      </c>
      <c r="I400">
        <v>5</v>
      </c>
      <c r="J400" t="str">
        <f>HYPERLINK("Gene1489-zp_tree_all.dnd", "Gene1489-tree")</f>
        <v>Gene1489-tree</v>
      </c>
      <c r="K400">
        <v>5</v>
      </c>
      <c r="L400">
        <v>0</v>
      </c>
      <c r="M400">
        <v>5</v>
      </c>
      <c r="N400">
        <v>0</v>
      </c>
      <c r="O400">
        <v>0</v>
      </c>
      <c r="P400" t="s">
        <v>96</v>
      </c>
      <c r="Q400" t="s">
        <v>66</v>
      </c>
      <c r="R400" t="s">
        <v>66</v>
      </c>
      <c r="S400" t="s">
        <v>66</v>
      </c>
      <c r="T400">
        <v>0</v>
      </c>
      <c r="U400">
        <v>0</v>
      </c>
      <c r="V400">
        <v>3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5</v>
      </c>
      <c r="AI400">
        <v>1</v>
      </c>
      <c r="AJ400">
        <v>17</v>
      </c>
      <c r="AK400">
        <v>0</v>
      </c>
      <c r="AL400">
        <v>13</v>
      </c>
      <c r="AM400">
        <v>3</v>
      </c>
      <c r="AN400" t="s">
        <v>68</v>
      </c>
      <c r="AO400" t="s">
        <v>1486</v>
      </c>
      <c r="AP400">
        <v>0</v>
      </c>
      <c r="AQ400" t="s">
        <v>69</v>
      </c>
      <c r="AR400">
        <v>30</v>
      </c>
      <c r="AS400">
        <v>3</v>
      </c>
      <c r="AT400">
        <v>1.2370000000000001E-2</v>
      </c>
      <c r="AU400">
        <v>-2.0500000000000002E-3</v>
      </c>
      <c r="AV400">
        <v>4.9410000000000003E-2</v>
      </c>
      <c r="AW400">
        <v>-7.8399999999999997E-3</v>
      </c>
      <c r="AX400">
        <v>1.7700000000000001E-3</v>
      </c>
      <c r="AY400">
        <v>-4.2000000000000002E-4</v>
      </c>
      <c r="AZ400">
        <v>3.585E-2</v>
      </c>
      <c r="BA400">
        <v>1</v>
      </c>
      <c r="BB400" t="s">
        <v>70</v>
      </c>
      <c r="BC400">
        <v>0.26500000000000001</v>
      </c>
      <c r="BD400">
        <v>0.26500000000000001</v>
      </c>
      <c r="BE400" t="s">
        <v>71</v>
      </c>
    </row>
    <row r="401" spans="1:57">
      <c r="A401">
        <v>1490</v>
      </c>
      <c r="B401" t="s">
        <v>1487</v>
      </c>
      <c r="D401" t="s">
        <v>60</v>
      </c>
      <c r="E401" t="s">
        <v>1488</v>
      </c>
      <c r="F401" t="s">
        <v>1489</v>
      </c>
      <c r="G401">
        <v>470</v>
      </c>
      <c r="H401" t="s">
        <v>63</v>
      </c>
      <c r="I401">
        <v>5</v>
      </c>
      <c r="J401" t="str">
        <f>HYPERLINK("Gene1490-zp_tree_all.dnd", "Gene1490-tree")</f>
        <v>Gene1490-tree</v>
      </c>
      <c r="K401">
        <v>4</v>
      </c>
      <c r="L401">
        <v>1</v>
      </c>
      <c r="M401">
        <v>4</v>
      </c>
      <c r="N401">
        <v>1</v>
      </c>
      <c r="O401">
        <v>0.2</v>
      </c>
      <c r="P401" t="s">
        <v>64</v>
      </c>
      <c r="Q401" t="s">
        <v>65</v>
      </c>
      <c r="R401" t="s">
        <v>66</v>
      </c>
      <c r="S401" t="s">
        <v>66</v>
      </c>
      <c r="T401">
        <v>0</v>
      </c>
      <c r="U401">
        <v>0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5</v>
      </c>
      <c r="AI401">
        <v>2</v>
      </c>
      <c r="AJ401">
        <v>27</v>
      </c>
      <c r="AK401">
        <v>1</v>
      </c>
      <c r="AL401">
        <v>33</v>
      </c>
      <c r="AM401">
        <v>3</v>
      </c>
      <c r="AN401" t="s">
        <v>1490</v>
      </c>
      <c r="AO401" t="s">
        <v>1491</v>
      </c>
      <c r="AP401">
        <v>0.39700000000000002</v>
      </c>
      <c r="AQ401" t="s">
        <v>69</v>
      </c>
      <c r="AR401">
        <v>60</v>
      </c>
      <c r="AS401">
        <v>4</v>
      </c>
      <c r="AT401">
        <v>2.2839999999999999E-2</v>
      </c>
      <c r="AU401">
        <v>-3.9500000000000004E-3</v>
      </c>
      <c r="AV401">
        <v>9.4409999999999994E-2</v>
      </c>
      <c r="AW401">
        <v>-1.6420000000000001E-2</v>
      </c>
      <c r="AX401">
        <v>2.0699999999999998E-3</v>
      </c>
      <c r="AY401">
        <v>-4.8999999999999998E-4</v>
      </c>
      <c r="AZ401">
        <v>2.1919999999999999E-2</v>
      </c>
      <c r="BA401">
        <v>1</v>
      </c>
      <c r="BB401" t="s">
        <v>70</v>
      </c>
      <c r="BC401">
        <v>0.62</v>
      </c>
      <c r="BD401">
        <v>0.62</v>
      </c>
      <c r="BE401" t="s">
        <v>71</v>
      </c>
    </row>
    <row r="402" spans="1:57">
      <c r="A402">
        <v>1492</v>
      </c>
      <c r="B402" t="s">
        <v>1497</v>
      </c>
      <c r="D402" t="s">
        <v>60</v>
      </c>
      <c r="E402" t="s">
        <v>1498</v>
      </c>
      <c r="F402" t="s">
        <v>74</v>
      </c>
      <c r="G402">
        <v>39</v>
      </c>
      <c r="H402" t="s">
        <v>63</v>
      </c>
      <c r="I402">
        <v>5</v>
      </c>
      <c r="J402" t="str">
        <f>HYPERLINK("Gene1492-zp_tree_all.dnd", "Gene1492-tree")</f>
        <v>Gene1492-tree</v>
      </c>
      <c r="K402">
        <v>4</v>
      </c>
      <c r="L402">
        <v>1</v>
      </c>
      <c r="M402">
        <v>3</v>
      </c>
      <c r="N402">
        <v>1</v>
      </c>
      <c r="O402">
        <v>0.25</v>
      </c>
      <c r="P402" t="s">
        <v>112</v>
      </c>
      <c r="Q402" t="s">
        <v>65</v>
      </c>
      <c r="R402" t="s">
        <v>66</v>
      </c>
      <c r="S402" t="s">
        <v>66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  <c r="AH402">
        <v>4</v>
      </c>
      <c r="AI402">
        <v>1</v>
      </c>
      <c r="AJ402">
        <v>4</v>
      </c>
      <c r="AK402">
        <v>1</v>
      </c>
      <c r="AL402">
        <v>2</v>
      </c>
      <c r="AM402">
        <v>0</v>
      </c>
      <c r="AN402" t="s">
        <v>1499</v>
      </c>
      <c r="AO402" t="s">
        <v>68</v>
      </c>
      <c r="AP402">
        <v>0.66700000000000004</v>
      </c>
      <c r="AQ402" t="s">
        <v>69</v>
      </c>
      <c r="AR402">
        <v>6</v>
      </c>
      <c r="AS402">
        <v>1</v>
      </c>
      <c r="AT402">
        <v>2.9909999999999999E-2</v>
      </c>
      <c r="AU402">
        <v>-4.3899999999999998E-3</v>
      </c>
      <c r="AV402">
        <v>0.14398</v>
      </c>
      <c r="AW402">
        <v>-2.1329999999999998E-2</v>
      </c>
      <c r="AX402">
        <v>5.3699999999999998E-3</v>
      </c>
      <c r="AY402">
        <v>-2E-3</v>
      </c>
      <c r="AZ402">
        <v>3.7280000000000001E-2</v>
      </c>
      <c r="BA402">
        <v>1</v>
      </c>
      <c r="BB402" t="s">
        <v>70</v>
      </c>
      <c r="BC402">
        <v>0.28599999999999998</v>
      </c>
      <c r="BD402">
        <v>0.28599999999999998</v>
      </c>
      <c r="BE402" t="s">
        <v>71</v>
      </c>
    </row>
    <row r="403" spans="1:57">
      <c r="A403">
        <v>1494</v>
      </c>
      <c r="B403" t="s">
        <v>1500</v>
      </c>
      <c r="D403" t="s">
        <v>60</v>
      </c>
      <c r="E403" t="s">
        <v>1501</v>
      </c>
      <c r="F403" t="s">
        <v>74</v>
      </c>
      <c r="G403">
        <v>88</v>
      </c>
      <c r="H403" t="s">
        <v>85</v>
      </c>
      <c r="I403">
        <v>4</v>
      </c>
      <c r="J403" t="str">
        <f>HYPERLINK("Gene1494-zp_tree_all.dnd", "Gene1494-tree")</f>
        <v>Gene1494-tree</v>
      </c>
      <c r="K403">
        <v>2</v>
      </c>
      <c r="L403">
        <v>2</v>
      </c>
      <c r="M403">
        <v>2</v>
      </c>
      <c r="N403">
        <v>2</v>
      </c>
      <c r="O403">
        <v>0.5</v>
      </c>
      <c r="P403" t="s">
        <v>124</v>
      </c>
      <c r="Q403" t="s">
        <v>124</v>
      </c>
      <c r="R403" t="s">
        <v>66</v>
      </c>
      <c r="S403" t="s">
        <v>66</v>
      </c>
      <c r="T403">
        <v>0</v>
      </c>
      <c r="U403">
        <v>0</v>
      </c>
      <c r="V403">
        <v>2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2</v>
      </c>
      <c r="AG403">
        <v>0</v>
      </c>
      <c r="AH403">
        <v>2</v>
      </c>
      <c r="AI403">
        <v>1</v>
      </c>
      <c r="AJ403">
        <v>12</v>
      </c>
      <c r="AK403">
        <v>1</v>
      </c>
      <c r="AL403">
        <v>0</v>
      </c>
      <c r="AM403">
        <v>1</v>
      </c>
      <c r="AN403" t="s">
        <v>1502</v>
      </c>
      <c r="AO403" t="s">
        <v>68</v>
      </c>
      <c r="AP403">
        <v>0.81899999999999995</v>
      </c>
      <c r="AQ403" t="s">
        <v>69</v>
      </c>
      <c r="AR403">
        <v>12</v>
      </c>
      <c r="AS403">
        <v>2</v>
      </c>
      <c r="AT403">
        <v>2.7150000000000001E-2</v>
      </c>
      <c r="AU403">
        <v>-9.0799999999999995E-3</v>
      </c>
      <c r="AV403">
        <v>0.12486999999999999</v>
      </c>
      <c r="AW403">
        <v>-4.6219999999999997E-2</v>
      </c>
      <c r="AX403">
        <v>5.6299999999999996E-3</v>
      </c>
      <c r="AY403">
        <v>-1.3600000000000001E-3</v>
      </c>
      <c r="AZ403">
        <v>4.5069999999999999E-2</v>
      </c>
      <c r="BA403">
        <v>1</v>
      </c>
      <c r="BB403" t="s">
        <v>70</v>
      </c>
      <c r="BC403">
        <v>-0.624</v>
      </c>
      <c r="BD403">
        <v>-0.624</v>
      </c>
      <c r="BE403" t="s">
        <v>71</v>
      </c>
    </row>
    <row r="404" spans="1:57">
      <c r="A404">
        <v>1507</v>
      </c>
      <c r="B404" t="s">
        <v>1509</v>
      </c>
      <c r="D404" t="s">
        <v>60</v>
      </c>
      <c r="E404" t="s">
        <v>1510</v>
      </c>
      <c r="F404" t="s">
        <v>1511</v>
      </c>
      <c r="G404">
        <v>612</v>
      </c>
      <c r="H404" t="s">
        <v>63</v>
      </c>
      <c r="I404">
        <v>5</v>
      </c>
      <c r="J404" t="str">
        <f>HYPERLINK("Gene1507-zp_tree_all.dnd", "Gene1507-tree")</f>
        <v>Gene1507-tree</v>
      </c>
      <c r="K404">
        <v>3</v>
      </c>
      <c r="L404">
        <v>2</v>
      </c>
      <c r="M404">
        <v>3</v>
      </c>
      <c r="N404">
        <v>2</v>
      </c>
      <c r="O404">
        <v>0.4</v>
      </c>
      <c r="P404" t="s">
        <v>86</v>
      </c>
      <c r="Q404" t="s">
        <v>124</v>
      </c>
      <c r="R404" t="s">
        <v>66</v>
      </c>
      <c r="S404" t="s">
        <v>66</v>
      </c>
      <c r="T404">
        <v>0</v>
      </c>
      <c r="U404">
        <v>0</v>
      </c>
      <c r="V404">
        <v>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5</v>
      </c>
      <c r="AG404">
        <v>0</v>
      </c>
      <c r="AH404">
        <v>5</v>
      </c>
      <c r="AI404">
        <v>2</v>
      </c>
      <c r="AJ404">
        <v>55</v>
      </c>
      <c r="AK404">
        <v>3</v>
      </c>
      <c r="AL404">
        <v>57</v>
      </c>
      <c r="AM404">
        <v>2</v>
      </c>
      <c r="AN404" t="s">
        <v>1512</v>
      </c>
      <c r="AO404" t="s">
        <v>1513</v>
      </c>
      <c r="AP404">
        <v>0.318</v>
      </c>
      <c r="AQ404" t="s">
        <v>69</v>
      </c>
      <c r="AR404">
        <v>112</v>
      </c>
      <c r="AS404">
        <v>5</v>
      </c>
      <c r="AT404">
        <v>3.0939999999999999E-2</v>
      </c>
      <c r="AU404">
        <v>-5.1599999999999997E-3</v>
      </c>
      <c r="AV404">
        <v>0.14457999999999999</v>
      </c>
      <c r="AW404">
        <v>-2.4910000000000002E-2</v>
      </c>
      <c r="AX404">
        <v>1.6999999999999999E-3</v>
      </c>
      <c r="AY404">
        <v>-3.6000000000000002E-4</v>
      </c>
      <c r="AZ404">
        <v>1.1780000000000001E-2</v>
      </c>
      <c r="BA404">
        <v>1</v>
      </c>
      <c r="BB404" t="s">
        <v>70</v>
      </c>
      <c r="BC404">
        <v>0.502</v>
      </c>
      <c r="BD404">
        <v>0.30299999999999999</v>
      </c>
      <c r="BE404" t="s">
        <v>71</v>
      </c>
    </row>
    <row r="405" spans="1:57">
      <c r="A405">
        <v>1508</v>
      </c>
      <c r="B405" t="s">
        <v>1514</v>
      </c>
      <c r="D405" t="s">
        <v>60</v>
      </c>
      <c r="E405" t="s">
        <v>1515</v>
      </c>
      <c r="F405" t="s">
        <v>74</v>
      </c>
      <c r="G405">
        <v>105</v>
      </c>
      <c r="H405" t="s">
        <v>63</v>
      </c>
      <c r="I405">
        <v>5</v>
      </c>
      <c r="J405" t="str">
        <f>HYPERLINK("Gene1508-zp_tree_all.dnd", "Gene1508-tree")</f>
        <v>Gene1508-tree</v>
      </c>
      <c r="K405">
        <v>3</v>
      </c>
      <c r="L405">
        <v>2</v>
      </c>
      <c r="M405">
        <v>3</v>
      </c>
      <c r="N405">
        <v>2</v>
      </c>
      <c r="O405">
        <v>0.4</v>
      </c>
      <c r="P405" t="s">
        <v>86</v>
      </c>
      <c r="Q405" t="s">
        <v>124</v>
      </c>
      <c r="R405" t="s">
        <v>66</v>
      </c>
      <c r="S405" t="s">
        <v>66</v>
      </c>
      <c r="T405">
        <v>0</v>
      </c>
      <c r="U405">
        <v>0</v>
      </c>
      <c r="V405">
        <v>2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2</v>
      </c>
      <c r="AG405">
        <v>0</v>
      </c>
      <c r="AH405">
        <v>3</v>
      </c>
      <c r="AI405">
        <v>2</v>
      </c>
      <c r="AJ405">
        <v>4</v>
      </c>
      <c r="AK405">
        <v>2</v>
      </c>
      <c r="AL405">
        <v>9</v>
      </c>
      <c r="AM405">
        <v>0</v>
      </c>
      <c r="AN405" t="s">
        <v>1516</v>
      </c>
      <c r="AO405" t="s">
        <v>68</v>
      </c>
      <c r="AP405">
        <v>2.758</v>
      </c>
      <c r="AQ405" t="s">
        <v>239</v>
      </c>
      <c r="AR405">
        <v>13</v>
      </c>
      <c r="AS405">
        <v>2</v>
      </c>
      <c r="AT405">
        <v>2.349E-2</v>
      </c>
      <c r="AU405">
        <v>-3.6800000000000001E-3</v>
      </c>
      <c r="AV405">
        <v>8.6099999999999996E-2</v>
      </c>
      <c r="AW405">
        <v>-1.444E-2</v>
      </c>
      <c r="AX405">
        <v>3.4499999999999999E-3</v>
      </c>
      <c r="AY405">
        <v>-8.1999999999999998E-4</v>
      </c>
      <c r="AZ405">
        <v>4.0090000000000001E-2</v>
      </c>
      <c r="BA405">
        <v>1</v>
      </c>
      <c r="BB405" t="s">
        <v>70</v>
      </c>
      <c r="BC405">
        <v>0.73799999999999999</v>
      </c>
      <c r="BD405">
        <v>0.30399999999999999</v>
      </c>
      <c r="BE405" t="s">
        <v>71</v>
      </c>
    </row>
    <row r="406" spans="1:57">
      <c r="A406">
        <v>1514</v>
      </c>
      <c r="B406" t="s">
        <v>1519</v>
      </c>
      <c r="D406" t="s">
        <v>60</v>
      </c>
      <c r="E406" t="s">
        <v>1520</v>
      </c>
      <c r="F406" t="s">
        <v>74</v>
      </c>
      <c r="G406">
        <v>93</v>
      </c>
      <c r="H406" t="s">
        <v>63</v>
      </c>
      <c r="I406">
        <v>5</v>
      </c>
      <c r="J406" t="str">
        <f>HYPERLINK("Gene1514-zp_tree_all.dnd", "Gene1514-tree")</f>
        <v>Gene1514-tree</v>
      </c>
      <c r="K406">
        <v>3</v>
      </c>
      <c r="L406">
        <v>2</v>
      </c>
      <c r="M406">
        <v>3</v>
      </c>
      <c r="N406">
        <v>1</v>
      </c>
      <c r="O406">
        <v>0.25</v>
      </c>
      <c r="P406" t="s">
        <v>86</v>
      </c>
      <c r="Q406" t="s">
        <v>65</v>
      </c>
      <c r="R406" t="s">
        <v>66</v>
      </c>
      <c r="S406" t="s">
        <v>66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3</v>
      </c>
      <c r="AI406">
        <v>0</v>
      </c>
      <c r="AJ406">
        <v>4</v>
      </c>
      <c r="AK406">
        <v>1</v>
      </c>
      <c r="AL406">
        <v>0</v>
      </c>
      <c r="AM406">
        <v>0</v>
      </c>
      <c r="AN406" t="s">
        <v>1521</v>
      </c>
      <c r="AO406" t="s">
        <v>68</v>
      </c>
      <c r="AP406">
        <v>0.81299999999999994</v>
      </c>
      <c r="AQ406" t="s">
        <v>69</v>
      </c>
      <c r="AR406">
        <v>4</v>
      </c>
      <c r="AS406">
        <v>1</v>
      </c>
      <c r="AT406">
        <v>8.3599999999999994E-3</v>
      </c>
      <c r="AU406">
        <v>-1.3799999999999999E-3</v>
      </c>
      <c r="AV406">
        <v>3.1179999999999999E-2</v>
      </c>
      <c r="AW406">
        <v>-6.3499999999999997E-3</v>
      </c>
      <c r="AX406">
        <v>2.2899999999999999E-3</v>
      </c>
      <c r="AY406">
        <v>-9.3999999999999997E-4</v>
      </c>
      <c r="AZ406">
        <v>7.356E-2</v>
      </c>
      <c r="BA406">
        <v>0.98299999999999998</v>
      </c>
      <c r="BB406" t="s">
        <v>70</v>
      </c>
      <c r="BC406">
        <v>0.95699999999999996</v>
      </c>
      <c r="BD406">
        <v>-0.41</v>
      </c>
      <c r="BE406" t="s">
        <v>71</v>
      </c>
    </row>
    <row r="407" spans="1:57">
      <c r="A407">
        <v>1518</v>
      </c>
      <c r="B407" t="s">
        <v>1522</v>
      </c>
      <c r="D407" t="s">
        <v>60</v>
      </c>
      <c r="E407" t="s">
        <v>1523</v>
      </c>
      <c r="F407" t="s">
        <v>1524</v>
      </c>
      <c r="G407">
        <v>305</v>
      </c>
      <c r="H407" t="s">
        <v>63</v>
      </c>
      <c r="I407">
        <v>5</v>
      </c>
      <c r="J407" t="str">
        <f>HYPERLINK("Gene1518-zp_tree_all.dnd", "Gene1518-tree")</f>
        <v>Gene1518-tree</v>
      </c>
      <c r="K407">
        <v>5</v>
      </c>
      <c r="L407">
        <v>0</v>
      </c>
      <c r="M407">
        <v>5</v>
      </c>
      <c r="N407">
        <v>0</v>
      </c>
      <c r="O407">
        <v>0</v>
      </c>
      <c r="P407" t="s">
        <v>96</v>
      </c>
      <c r="Q407" t="s">
        <v>66</v>
      </c>
      <c r="R407" t="s">
        <v>66</v>
      </c>
      <c r="S407" t="s">
        <v>66</v>
      </c>
      <c r="T407">
        <v>0</v>
      </c>
      <c r="U407">
        <v>0</v>
      </c>
      <c r="V407">
        <v>2</v>
      </c>
      <c r="W407">
        <v>0</v>
      </c>
      <c r="X407">
        <v>0</v>
      </c>
      <c r="Y407">
        <v>0</v>
      </c>
      <c r="Z407">
        <v>0</v>
      </c>
      <c r="AA407">
        <v>2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5</v>
      </c>
      <c r="AI407">
        <v>2</v>
      </c>
      <c r="AJ407">
        <v>27</v>
      </c>
      <c r="AK407">
        <v>0</v>
      </c>
      <c r="AL407">
        <v>15</v>
      </c>
      <c r="AM407">
        <v>2</v>
      </c>
      <c r="AN407" t="s">
        <v>68</v>
      </c>
      <c r="AO407" t="s">
        <v>1525</v>
      </c>
      <c r="AP407">
        <v>1.032</v>
      </c>
      <c r="AQ407" t="s">
        <v>69</v>
      </c>
      <c r="AR407">
        <v>42</v>
      </c>
      <c r="AS407">
        <v>2</v>
      </c>
      <c r="AT407">
        <v>2.23E-2</v>
      </c>
      <c r="AU407">
        <v>-3.7299999999999998E-3</v>
      </c>
      <c r="AV407">
        <v>9.5130000000000006E-2</v>
      </c>
      <c r="AW407">
        <v>-1.6129999999999999E-2</v>
      </c>
      <c r="AX407">
        <v>1.73E-3</v>
      </c>
      <c r="AY407">
        <v>-4.0999999999999999E-4</v>
      </c>
      <c r="AZ407">
        <v>1.8149999999999999E-2</v>
      </c>
      <c r="BA407">
        <v>1</v>
      </c>
      <c r="BB407" t="s">
        <v>70</v>
      </c>
      <c r="BC407">
        <v>0.09</v>
      </c>
      <c r="BD407">
        <v>-0.06</v>
      </c>
      <c r="BE407" t="s">
        <v>71</v>
      </c>
    </row>
    <row r="408" spans="1:57">
      <c r="A408">
        <v>1519</v>
      </c>
      <c r="B408" t="s">
        <v>1526</v>
      </c>
      <c r="D408" t="s">
        <v>60</v>
      </c>
      <c r="E408" t="s">
        <v>1527</v>
      </c>
      <c r="F408" t="s">
        <v>1528</v>
      </c>
      <c r="G408">
        <v>356</v>
      </c>
      <c r="H408" t="s">
        <v>85</v>
      </c>
      <c r="I408">
        <v>4</v>
      </c>
      <c r="J408" t="str">
        <f>HYPERLINK("Gene1519-zp_tree_all.dnd", "Gene1519-tree")</f>
        <v>Gene1519-tree</v>
      </c>
      <c r="K408">
        <v>2</v>
      </c>
      <c r="L408">
        <v>2</v>
      </c>
      <c r="M408">
        <v>2</v>
      </c>
      <c r="N408">
        <v>2</v>
      </c>
      <c r="O408">
        <v>0.5</v>
      </c>
      <c r="P408" t="s">
        <v>124</v>
      </c>
      <c r="Q408" t="s">
        <v>124</v>
      </c>
      <c r="R408" t="s">
        <v>66</v>
      </c>
      <c r="S408" t="s">
        <v>66</v>
      </c>
      <c r="T408">
        <v>0</v>
      </c>
      <c r="U408">
        <v>0</v>
      </c>
      <c r="V408">
        <v>8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7</v>
      </c>
      <c r="AG408">
        <v>0</v>
      </c>
      <c r="AH408">
        <v>4</v>
      </c>
      <c r="AI408">
        <v>1</v>
      </c>
      <c r="AJ408">
        <v>51</v>
      </c>
      <c r="AK408">
        <v>7</v>
      </c>
      <c r="AL408">
        <v>1</v>
      </c>
      <c r="AM408">
        <v>1</v>
      </c>
      <c r="AN408" t="s">
        <v>1529</v>
      </c>
      <c r="AO408" t="s">
        <v>1530</v>
      </c>
      <c r="AP408">
        <v>3.5390000000000001</v>
      </c>
      <c r="AQ408" t="s">
        <v>69</v>
      </c>
      <c r="AR408">
        <v>52</v>
      </c>
      <c r="AS408">
        <v>8</v>
      </c>
      <c r="AT408">
        <v>2.8400000000000002E-2</v>
      </c>
      <c r="AU408">
        <v>-8.8699999999999994E-3</v>
      </c>
      <c r="AV408">
        <v>0.12447</v>
      </c>
      <c r="AW408">
        <v>-4.0829999999999998E-2</v>
      </c>
      <c r="AX408">
        <v>5.0600000000000003E-3</v>
      </c>
      <c r="AY408">
        <v>-1.4499999999999999E-3</v>
      </c>
      <c r="AZ408">
        <v>4.0629999999999999E-2</v>
      </c>
      <c r="BA408">
        <v>1</v>
      </c>
      <c r="BB408" t="s">
        <v>70</v>
      </c>
      <c r="BC408">
        <v>-0.76300000000000001</v>
      </c>
      <c r="BD408">
        <v>-0.76300000000000001</v>
      </c>
      <c r="BE408" t="s">
        <v>71</v>
      </c>
    </row>
    <row r="409" spans="1:57">
      <c r="A409">
        <v>1525</v>
      </c>
      <c r="B409" t="s">
        <v>1531</v>
      </c>
      <c r="D409" t="s">
        <v>60</v>
      </c>
      <c r="E409" t="s">
        <v>1532</v>
      </c>
      <c r="F409" t="s">
        <v>74</v>
      </c>
      <c r="G409">
        <v>148</v>
      </c>
      <c r="H409" t="s">
        <v>85</v>
      </c>
      <c r="I409">
        <v>4</v>
      </c>
      <c r="J409" t="str">
        <f>HYPERLINK("Gene1525-zp_tree_all.dnd", "Gene1525-tree")</f>
        <v>Gene1525-tree</v>
      </c>
      <c r="K409">
        <v>2</v>
      </c>
      <c r="L409">
        <v>2</v>
      </c>
      <c r="M409">
        <v>2</v>
      </c>
      <c r="N409">
        <v>2</v>
      </c>
      <c r="O409">
        <v>0.5</v>
      </c>
      <c r="P409" t="s">
        <v>124</v>
      </c>
      <c r="Q409" t="s">
        <v>124</v>
      </c>
      <c r="R409" t="s">
        <v>66</v>
      </c>
      <c r="S409" t="s">
        <v>66</v>
      </c>
      <c r="T409">
        <v>0</v>
      </c>
      <c r="U409">
        <v>0</v>
      </c>
      <c r="V409">
        <v>2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2</v>
      </c>
      <c r="AG409">
        <v>0</v>
      </c>
      <c r="AH409">
        <v>4</v>
      </c>
      <c r="AI409">
        <v>1</v>
      </c>
      <c r="AJ409">
        <v>23</v>
      </c>
      <c r="AK409">
        <v>2</v>
      </c>
      <c r="AL409">
        <v>1</v>
      </c>
      <c r="AM409">
        <v>0</v>
      </c>
      <c r="AN409" t="s">
        <v>1533</v>
      </c>
      <c r="AO409" t="s">
        <v>68</v>
      </c>
      <c r="AP409">
        <v>0.76</v>
      </c>
      <c r="AQ409" t="s">
        <v>69</v>
      </c>
      <c r="AR409">
        <v>24</v>
      </c>
      <c r="AS409">
        <v>2</v>
      </c>
      <c r="AT409">
        <v>2.8899999999999999E-2</v>
      </c>
      <c r="AU409">
        <v>-8.1499999999999993E-3</v>
      </c>
      <c r="AV409">
        <v>0.13488</v>
      </c>
      <c r="AW409">
        <v>-4.1270000000000001E-2</v>
      </c>
      <c r="AX409">
        <v>2.9199999999999999E-3</v>
      </c>
      <c r="AY409">
        <v>-6.8999999999999997E-4</v>
      </c>
      <c r="AZ409">
        <v>2.164E-2</v>
      </c>
      <c r="BA409">
        <v>1</v>
      </c>
      <c r="BB409" t="s">
        <v>70</v>
      </c>
      <c r="BC409">
        <v>-0.60699999999999998</v>
      </c>
      <c r="BD409">
        <v>-0.60699999999999998</v>
      </c>
      <c r="BE409" t="s">
        <v>71</v>
      </c>
    </row>
    <row r="410" spans="1:57">
      <c r="A410">
        <v>1528</v>
      </c>
      <c r="B410" t="s">
        <v>1538</v>
      </c>
      <c r="D410" t="s">
        <v>60</v>
      </c>
      <c r="E410" t="s">
        <v>1539</v>
      </c>
      <c r="F410" t="s">
        <v>74</v>
      </c>
      <c r="G410">
        <v>79</v>
      </c>
      <c r="H410" t="s">
        <v>63</v>
      </c>
      <c r="I410">
        <v>5</v>
      </c>
      <c r="J410" t="str">
        <f>HYPERLINK("Gene1528-zp_tree_all.dnd", "Gene1528-tree")</f>
        <v>Gene1528-tree</v>
      </c>
      <c r="K410">
        <v>0</v>
      </c>
      <c r="L410">
        <v>5</v>
      </c>
      <c r="M410">
        <v>0</v>
      </c>
      <c r="N410">
        <v>4</v>
      </c>
      <c r="O410">
        <v>1</v>
      </c>
      <c r="P410" t="s">
        <v>66</v>
      </c>
      <c r="Q410" t="s">
        <v>135</v>
      </c>
      <c r="R410">
        <v>3.1949999999999998</v>
      </c>
      <c r="S410" t="s">
        <v>69</v>
      </c>
      <c r="T410">
        <v>0</v>
      </c>
      <c r="U410">
        <v>0</v>
      </c>
      <c r="V410">
        <v>4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2</v>
      </c>
      <c r="AI410">
        <v>1</v>
      </c>
      <c r="AJ410">
        <v>1</v>
      </c>
      <c r="AK410">
        <v>3</v>
      </c>
      <c r="AL410">
        <v>8</v>
      </c>
      <c r="AM410">
        <v>1</v>
      </c>
      <c r="AN410" t="s">
        <v>1540</v>
      </c>
      <c r="AO410" t="s">
        <v>1541</v>
      </c>
      <c r="AP410">
        <v>1.2250000000000001</v>
      </c>
      <c r="AQ410" t="s">
        <v>69</v>
      </c>
      <c r="AR410">
        <v>9</v>
      </c>
      <c r="AS410">
        <v>4</v>
      </c>
      <c r="AT410">
        <v>3.3759999999999998E-2</v>
      </c>
      <c r="AU410">
        <v>-7.7000000000000002E-3</v>
      </c>
      <c r="AV410">
        <v>0.15287000000000001</v>
      </c>
      <c r="AW410">
        <v>-4.1209999999999997E-2</v>
      </c>
      <c r="AX410">
        <v>1.133E-2</v>
      </c>
      <c r="AY410">
        <v>-2.3E-3</v>
      </c>
      <c r="AZ410">
        <v>7.4130000000000001E-2</v>
      </c>
      <c r="BA410">
        <v>0.99</v>
      </c>
      <c r="BB410" t="s">
        <v>70</v>
      </c>
      <c r="BC410">
        <v>0.88500000000000001</v>
      </c>
      <c r="BD410">
        <v>0.88500000000000001</v>
      </c>
      <c r="BE410" t="s">
        <v>71</v>
      </c>
    </row>
    <row r="411" spans="1:57">
      <c r="A411">
        <v>1529</v>
      </c>
      <c r="B411" t="s">
        <v>1542</v>
      </c>
      <c r="D411" t="s">
        <v>60</v>
      </c>
      <c r="E411" t="s">
        <v>1543</v>
      </c>
      <c r="F411" t="s">
        <v>1544</v>
      </c>
      <c r="G411">
        <v>149</v>
      </c>
      <c r="H411" t="s">
        <v>63</v>
      </c>
      <c r="I411">
        <v>5</v>
      </c>
      <c r="J411" t="str">
        <f>HYPERLINK("Gene1529-zp_tree_all.dnd", "Gene1529-tree")</f>
        <v>Gene1529-tree</v>
      </c>
      <c r="K411">
        <v>5</v>
      </c>
      <c r="L411">
        <v>0</v>
      </c>
      <c r="M411">
        <v>5</v>
      </c>
      <c r="N411">
        <v>0</v>
      </c>
      <c r="O411">
        <v>0</v>
      </c>
      <c r="P411" t="s">
        <v>96</v>
      </c>
      <c r="Q411" t="s">
        <v>66</v>
      </c>
      <c r="R411" t="s">
        <v>66</v>
      </c>
      <c r="S411" t="s">
        <v>66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3</v>
      </c>
      <c r="AI411">
        <v>2</v>
      </c>
      <c r="AJ411">
        <v>6</v>
      </c>
      <c r="AK411">
        <v>0</v>
      </c>
      <c r="AL411">
        <v>9</v>
      </c>
      <c r="AM411">
        <v>0</v>
      </c>
      <c r="AN411" t="s">
        <v>68</v>
      </c>
      <c r="AO411" t="s">
        <v>68</v>
      </c>
      <c r="AP411">
        <v>0</v>
      </c>
      <c r="AQ411" t="s">
        <v>69</v>
      </c>
      <c r="AR411">
        <v>15</v>
      </c>
      <c r="AS411">
        <v>0</v>
      </c>
      <c r="AT411">
        <v>1.745E-2</v>
      </c>
      <c r="AU411">
        <v>-3.1800000000000001E-3</v>
      </c>
      <c r="AV411">
        <v>8.4330000000000002E-2</v>
      </c>
      <c r="AW411">
        <v>-1.584E-2</v>
      </c>
      <c r="AX411">
        <v>0</v>
      </c>
      <c r="AY411">
        <v>0</v>
      </c>
      <c r="AZ411">
        <v>0</v>
      </c>
      <c r="BA411">
        <v>1</v>
      </c>
      <c r="BB411" t="s">
        <v>70</v>
      </c>
      <c r="BC411">
        <v>0.60899999999999999</v>
      </c>
      <c r="BD411">
        <v>0.60899999999999999</v>
      </c>
      <c r="BE411" t="s">
        <v>71</v>
      </c>
    </row>
    <row r="412" spans="1:57">
      <c r="A412">
        <v>1530</v>
      </c>
      <c r="B412" t="s">
        <v>1545</v>
      </c>
      <c r="D412" t="s">
        <v>60</v>
      </c>
      <c r="E412" t="s">
        <v>1546</v>
      </c>
      <c r="F412" t="s">
        <v>74</v>
      </c>
      <c r="G412">
        <v>90</v>
      </c>
      <c r="H412" t="s">
        <v>63</v>
      </c>
      <c r="I412">
        <v>5</v>
      </c>
      <c r="J412" t="str">
        <f>HYPERLINK("Gene1530-zp_tree_all.dnd", "Gene1530-tree")</f>
        <v>Gene1530-tree</v>
      </c>
      <c r="K412">
        <v>2</v>
      </c>
      <c r="L412">
        <v>3</v>
      </c>
      <c r="M412">
        <v>2</v>
      </c>
      <c r="N412">
        <v>2</v>
      </c>
      <c r="O412">
        <v>0.5</v>
      </c>
      <c r="P412" t="s">
        <v>124</v>
      </c>
      <c r="Q412" t="s">
        <v>185</v>
      </c>
      <c r="R412">
        <v>0.30599999999999999</v>
      </c>
      <c r="S412" t="s">
        <v>69</v>
      </c>
      <c r="T412">
        <v>0</v>
      </c>
      <c r="U412">
        <v>0</v>
      </c>
      <c r="V412">
        <v>2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2</v>
      </c>
      <c r="AG412">
        <v>0</v>
      </c>
      <c r="AH412">
        <v>3</v>
      </c>
      <c r="AI412">
        <v>1</v>
      </c>
      <c r="AJ412">
        <v>11</v>
      </c>
      <c r="AK412">
        <v>2</v>
      </c>
      <c r="AL412">
        <v>1</v>
      </c>
      <c r="AM412">
        <v>0</v>
      </c>
      <c r="AN412" t="s">
        <v>1547</v>
      </c>
      <c r="AO412" t="s">
        <v>68</v>
      </c>
      <c r="AP412">
        <v>1.0669999999999999</v>
      </c>
      <c r="AQ412" t="s">
        <v>69</v>
      </c>
      <c r="AR412">
        <v>12</v>
      </c>
      <c r="AS412">
        <v>2</v>
      </c>
      <c r="AT412">
        <v>2.6540000000000001E-2</v>
      </c>
      <c r="AU412">
        <v>-6.9499999999999996E-3</v>
      </c>
      <c r="AV412">
        <v>0.11966</v>
      </c>
      <c r="AW412">
        <v>-3.4759999999999999E-2</v>
      </c>
      <c r="AX412">
        <v>4.7400000000000003E-3</v>
      </c>
      <c r="AY412">
        <v>-1.1199999999999999E-3</v>
      </c>
      <c r="AZ412">
        <v>3.9570000000000001E-2</v>
      </c>
      <c r="BA412">
        <v>1</v>
      </c>
      <c r="BB412" t="s">
        <v>70</v>
      </c>
      <c r="BC412">
        <v>1.171</v>
      </c>
      <c r="BD412">
        <v>1.171</v>
      </c>
      <c r="BE412" t="s">
        <v>71</v>
      </c>
    </row>
    <row r="413" spans="1:57">
      <c r="A413">
        <v>1532</v>
      </c>
      <c r="B413" t="s">
        <v>1553</v>
      </c>
      <c r="D413" t="s">
        <v>60</v>
      </c>
      <c r="E413" t="s">
        <v>1554</v>
      </c>
      <c r="F413" t="s">
        <v>1555</v>
      </c>
      <c r="G413">
        <v>161</v>
      </c>
      <c r="H413" t="s">
        <v>106</v>
      </c>
      <c r="I413">
        <v>4</v>
      </c>
      <c r="J413" t="str">
        <f>HYPERLINK("Gene1532-zp_tree_all.dnd", "Gene1532-tree")</f>
        <v>Gene1532-tree</v>
      </c>
      <c r="K413">
        <v>3</v>
      </c>
      <c r="L413">
        <v>1</v>
      </c>
      <c r="M413">
        <v>3</v>
      </c>
      <c r="N413">
        <v>1</v>
      </c>
      <c r="O413">
        <v>0.25</v>
      </c>
      <c r="P413" t="s">
        <v>86</v>
      </c>
      <c r="Q413" t="s">
        <v>65</v>
      </c>
      <c r="R413" t="s">
        <v>66</v>
      </c>
      <c r="S413" t="s">
        <v>66</v>
      </c>
      <c r="T413">
        <v>0</v>
      </c>
      <c r="U413">
        <v>0</v>
      </c>
      <c r="V413">
        <v>2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2</v>
      </c>
      <c r="AG413">
        <v>0</v>
      </c>
      <c r="AH413">
        <v>4</v>
      </c>
      <c r="AI413">
        <v>1</v>
      </c>
      <c r="AJ413">
        <v>23</v>
      </c>
      <c r="AK413">
        <v>2</v>
      </c>
      <c r="AL413">
        <v>2</v>
      </c>
      <c r="AM413">
        <v>0</v>
      </c>
      <c r="AN413" t="s">
        <v>1556</v>
      </c>
      <c r="AO413" t="s">
        <v>68</v>
      </c>
      <c r="AP413">
        <v>0.505</v>
      </c>
      <c r="AQ413" t="s">
        <v>69</v>
      </c>
      <c r="AR413">
        <v>25</v>
      </c>
      <c r="AS413">
        <v>2</v>
      </c>
      <c r="AT413">
        <v>2.8299999999999999E-2</v>
      </c>
      <c r="AU413">
        <v>-5.9899999999999997E-3</v>
      </c>
      <c r="AV413">
        <v>0.1265</v>
      </c>
      <c r="AW413">
        <v>-2.6550000000000001E-2</v>
      </c>
      <c r="AX413">
        <v>2.7000000000000001E-3</v>
      </c>
      <c r="AY413">
        <v>-1.1000000000000001E-3</v>
      </c>
      <c r="AZ413">
        <v>2.1329999999999998E-2</v>
      </c>
      <c r="BA413">
        <v>1</v>
      </c>
      <c r="BB413" t="s">
        <v>70</v>
      </c>
      <c r="BC413">
        <v>-0.375</v>
      </c>
      <c r="BD413">
        <v>-0.73799999999999999</v>
      </c>
      <c r="BE413" t="s">
        <v>71</v>
      </c>
    </row>
    <row r="414" spans="1:57">
      <c r="A414">
        <v>1538</v>
      </c>
      <c r="B414" t="s">
        <v>1564</v>
      </c>
      <c r="D414" t="s">
        <v>60</v>
      </c>
      <c r="E414" t="s">
        <v>1565</v>
      </c>
      <c r="F414" t="s">
        <v>74</v>
      </c>
      <c r="G414">
        <v>172</v>
      </c>
      <c r="H414" t="s">
        <v>63</v>
      </c>
      <c r="I414">
        <v>5</v>
      </c>
      <c r="J414" t="str">
        <f>HYPERLINK("Gene1538-zp_tree_all.dnd", "Gene1538-tree")</f>
        <v>Gene1538-tree</v>
      </c>
      <c r="K414">
        <v>2</v>
      </c>
      <c r="L414">
        <v>3</v>
      </c>
      <c r="M414">
        <v>2</v>
      </c>
      <c r="N414">
        <v>3</v>
      </c>
      <c r="O414">
        <v>0.6</v>
      </c>
      <c r="P414" t="s">
        <v>124</v>
      </c>
      <c r="Q414" t="s">
        <v>86</v>
      </c>
      <c r="R414" t="s">
        <v>66</v>
      </c>
      <c r="S414" t="s">
        <v>66</v>
      </c>
      <c r="T414">
        <v>0</v>
      </c>
      <c r="U414">
        <v>0</v>
      </c>
      <c r="V414">
        <v>5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4</v>
      </c>
      <c r="AG414">
        <v>0</v>
      </c>
      <c r="AH414">
        <v>5</v>
      </c>
      <c r="AI414">
        <v>2</v>
      </c>
      <c r="AJ414">
        <v>3</v>
      </c>
      <c r="AK414">
        <v>4</v>
      </c>
      <c r="AL414">
        <v>6</v>
      </c>
      <c r="AM414">
        <v>1</v>
      </c>
      <c r="AN414" t="s">
        <v>1566</v>
      </c>
      <c r="AO414" t="s">
        <v>1567</v>
      </c>
      <c r="AP414">
        <v>0.73499999999999999</v>
      </c>
      <c r="AQ414" t="s">
        <v>69</v>
      </c>
      <c r="AR414">
        <v>9</v>
      </c>
      <c r="AS414">
        <v>5</v>
      </c>
      <c r="AT414">
        <v>1.3180000000000001E-2</v>
      </c>
      <c r="AU414">
        <v>-1.5499999999999999E-3</v>
      </c>
      <c r="AV414">
        <v>4.5019999999999998E-2</v>
      </c>
      <c r="AW414">
        <v>-7.2399999999999999E-3</v>
      </c>
      <c r="AX414">
        <v>5.3899999999999998E-3</v>
      </c>
      <c r="AY414">
        <v>-7.6000000000000004E-4</v>
      </c>
      <c r="AZ414">
        <v>0.11971</v>
      </c>
      <c r="BA414">
        <v>1</v>
      </c>
      <c r="BB414" t="s">
        <v>70</v>
      </c>
      <c r="BC414">
        <v>0.65200000000000002</v>
      </c>
      <c r="BD414">
        <v>0.186</v>
      </c>
      <c r="BE414" t="s">
        <v>71</v>
      </c>
    </row>
    <row r="415" spans="1:57">
      <c r="A415">
        <v>1540</v>
      </c>
      <c r="B415" t="s">
        <v>1571</v>
      </c>
      <c r="D415" t="s">
        <v>60</v>
      </c>
      <c r="E415" t="s">
        <v>1572</v>
      </c>
      <c r="F415" t="s">
        <v>74</v>
      </c>
      <c r="G415">
        <v>193</v>
      </c>
      <c r="H415" t="s">
        <v>63</v>
      </c>
      <c r="I415">
        <v>5</v>
      </c>
      <c r="J415" t="str">
        <f>HYPERLINK("Gene1540-zp_tree_all.dnd", "Gene1540-tree")</f>
        <v>Gene1540-tree</v>
      </c>
      <c r="K415">
        <v>0</v>
      </c>
      <c r="L415">
        <v>5</v>
      </c>
      <c r="M415">
        <v>0</v>
      </c>
      <c r="N415">
        <v>5</v>
      </c>
      <c r="O415">
        <v>1</v>
      </c>
      <c r="P415" t="s">
        <v>66</v>
      </c>
      <c r="Q415" t="s">
        <v>96</v>
      </c>
      <c r="R415" t="s">
        <v>66</v>
      </c>
      <c r="S415" t="s">
        <v>66</v>
      </c>
      <c r="T415">
        <v>0</v>
      </c>
      <c r="U415">
        <v>0</v>
      </c>
      <c r="V415">
        <v>9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9</v>
      </c>
      <c r="AG415">
        <v>0</v>
      </c>
      <c r="AH415">
        <v>5</v>
      </c>
      <c r="AI415">
        <v>2</v>
      </c>
      <c r="AJ415">
        <v>10</v>
      </c>
      <c r="AK415">
        <v>6</v>
      </c>
      <c r="AL415">
        <v>15</v>
      </c>
      <c r="AM415">
        <v>3</v>
      </c>
      <c r="AN415" t="s">
        <v>1573</v>
      </c>
      <c r="AO415" t="s">
        <v>1574</v>
      </c>
      <c r="AP415">
        <v>1.6259999999999999</v>
      </c>
      <c r="AQ415" t="s">
        <v>69</v>
      </c>
      <c r="AR415">
        <v>25</v>
      </c>
      <c r="AS415">
        <v>9</v>
      </c>
      <c r="AT415">
        <v>2.8150000000000001E-2</v>
      </c>
      <c r="AU415">
        <v>-4.3200000000000001E-3</v>
      </c>
      <c r="AV415">
        <v>0.10578</v>
      </c>
      <c r="AW415">
        <v>-1.805E-2</v>
      </c>
      <c r="AX415">
        <v>9.3200000000000002E-3</v>
      </c>
      <c r="AY415">
        <v>-1.17E-3</v>
      </c>
      <c r="AZ415">
        <v>8.8099999999999998E-2</v>
      </c>
      <c r="BA415">
        <v>1</v>
      </c>
      <c r="BB415" t="s">
        <v>70</v>
      </c>
      <c r="BC415">
        <v>0.71399999999999997</v>
      </c>
      <c r="BD415">
        <v>0.26100000000000001</v>
      </c>
      <c r="BE415" t="s">
        <v>71</v>
      </c>
    </row>
    <row r="416" spans="1:57">
      <c r="A416">
        <v>1544</v>
      </c>
      <c r="B416" t="s">
        <v>1575</v>
      </c>
      <c r="D416" t="s">
        <v>60</v>
      </c>
      <c r="E416" t="s">
        <v>1576</v>
      </c>
      <c r="F416" t="s">
        <v>1577</v>
      </c>
      <c r="G416">
        <v>143</v>
      </c>
      <c r="H416" t="s">
        <v>63</v>
      </c>
      <c r="I416">
        <v>5</v>
      </c>
      <c r="J416" t="str">
        <f>HYPERLINK("Gene1544-zp_tree_all.dnd", "Gene1544-tree")</f>
        <v>Gene1544-tree</v>
      </c>
      <c r="K416">
        <v>5</v>
      </c>
      <c r="L416">
        <v>0</v>
      </c>
      <c r="M416">
        <v>5</v>
      </c>
      <c r="N416">
        <v>0</v>
      </c>
      <c r="O416">
        <v>0</v>
      </c>
      <c r="P416" t="s">
        <v>96</v>
      </c>
      <c r="Q416" t="s">
        <v>66</v>
      </c>
      <c r="R416" t="s">
        <v>66</v>
      </c>
      <c r="S416" t="s">
        <v>66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5</v>
      </c>
      <c r="AI416">
        <v>1</v>
      </c>
      <c r="AJ416">
        <v>10</v>
      </c>
      <c r="AK416">
        <v>0</v>
      </c>
      <c r="AL416">
        <v>6</v>
      </c>
      <c r="AM416">
        <v>0</v>
      </c>
      <c r="AN416" t="s">
        <v>68</v>
      </c>
      <c r="AO416" t="s">
        <v>68</v>
      </c>
      <c r="AP416">
        <v>0</v>
      </c>
      <c r="AQ416" t="s">
        <v>69</v>
      </c>
      <c r="AR416">
        <v>16</v>
      </c>
      <c r="AS416">
        <v>0</v>
      </c>
      <c r="AT416">
        <v>1.702E-2</v>
      </c>
      <c r="AU416">
        <v>-2.8700000000000002E-3</v>
      </c>
      <c r="AV416">
        <v>8.6230000000000001E-2</v>
      </c>
      <c r="AW416">
        <v>-1.508E-2</v>
      </c>
      <c r="AX416">
        <v>0</v>
      </c>
      <c r="AY416">
        <v>0</v>
      </c>
      <c r="AZ416">
        <v>0</v>
      </c>
      <c r="BA416">
        <v>1</v>
      </c>
      <c r="BB416" t="s">
        <v>70</v>
      </c>
      <c r="BC416">
        <v>0.10199999999999999</v>
      </c>
      <c r="BD416">
        <v>-0.40600000000000003</v>
      </c>
      <c r="BE416" t="s">
        <v>71</v>
      </c>
    </row>
    <row r="417" spans="1:57">
      <c r="A417">
        <v>1545</v>
      </c>
      <c r="B417" t="s">
        <v>1578</v>
      </c>
      <c r="D417" t="s">
        <v>60</v>
      </c>
      <c r="E417" t="s">
        <v>1579</v>
      </c>
      <c r="F417" t="s">
        <v>1580</v>
      </c>
      <c r="G417">
        <v>311</v>
      </c>
      <c r="H417" t="s">
        <v>85</v>
      </c>
      <c r="I417">
        <v>4</v>
      </c>
      <c r="J417" t="str">
        <f>HYPERLINK("Gene1545-zp_tree_all.dnd", "Gene1545-tree")</f>
        <v>Gene1545-tree</v>
      </c>
      <c r="K417">
        <v>1</v>
      </c>
      <c r="L417">
        <v>3</v>
      </c>
      <c r="M417">
        <v>1</v>
      </c>
      <c r="N417">
        <v>3</v>
      </c>
      <c r="O417">
        <v>0.75</v>
      </c>
      <c r="P417" t="s">
        <v>65</v>
      </c>
      <c r="Q417" t="s">
        <v>86</v>
      </c>
      <c r="R417" t="s">
        <v>66</v>
      </c>
      <c r="S417" t="s">
        <v>66</v>
      </c>
      <c r="T417">
        <v>0</v>
      </c>
      <c r="U417">
        <v>0</v>
      </c>
      <c r="V417">
        <v>9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8</v>
      </c>
      <c r="AG417">
        <v>0</v>
      </c>
      <c r="AH417">
        <v>4</v>
      </c>
      <c r="AI417">
        <v>1</v>
      </c>
      <c r="AJ417">
        <v>39</v>
      </c>
      <c r="AK417">
        <v>8</v>
      </c>
      <c r="AL417">
        <v>2</v>
      </c>
      <c r="AM417">
        <v>1</v>
      </c>
      <c r="AN417" t="s">
        <v>1581</v>
      </c>
      <c r="AO417" t="s">
        <v>1582</v>
      </c>
      <c r="AP417">
        <v>1.022</v>
      </c>
      <c r="AQ417" t="s">
        <v>69</v>
      </c>
      <c r="AR417">
        <v>41</v>
      </c>
      <c r="AS417">
        <v>9</v>
      </c>
      <c r="AT417">
        <v>2.6970000000000001E-2</v>
      </c>
      <c r="AU417">
        <v>-8.4100000000000008E-3</v>
      </c>
      <c r="AV417">
        <v>0.10959000000000001</v>
      </c>
      <c r="AW417">
        <v>-3.8280000000000002E-2</v>
      </c>
      <c r="AX417">
        <v>6.4999999999999997E-3</v>
      </c>
      <c r="AY417">
        <v>-1.2600000000000001E-3</v>
      </c>
      <c r="AZ417">
        <v>5.9339999999999997E-2</v>
      </c>
      <c r="BA417">
        <v>1</v>
      </c>
      <c r="BB417" t="s">
        <v>70</v>
      </c>
      <c r="BC417">
        <v>-0.40300000000000002</v>
      </c>
      <c r="BD417">
        <v>-0.80100000000000005</v>
      </c>
      <c r="BE417" t="s">
        <v>71</v>
      </c>
    </row>
    <row r="418" spans="1:57">
      <c r="A418">
        <v>1552</v>
      </c>
      <c r="B418" t="s">
        <v>1591</v>
      </c>
      <c r="D418" t="s">
        <v>60</v>
      </c>
      <c r="E418" t="s">
        <v>1592</v>
      </c>
      <c r="F418" t="s">
        <v>1593</v>
      </c>
      <c r="G418">
        <v>366</v>
      </c>
      <c r="H418" t="s">
        <v>63</v>
      </c>
      <c r="I418">
        <v>5</v>
      </c>
      <c r="J418" t="str">
        <f>HYPERLINK("Gene1552-zp_tree_all.dnd", "Gene1552-tree")</f>
        <v>Gene1552-tree</v>
      </c>
      <c r="K418">
        <v>3</v>
      </c>
      <c r="L418">
        <v>2</v>
      </c>
      <c r="M418">
        <v>3</v>
      </c>
      <c r="N418">
        <v>2</v>
      </c>
      <c r="O418">
        <v>0.4</v>
      </c>
      <c r="P418" t="s">
        <v>86</v>
      </c>
      <c r="Q418" t="s">
        <v>124</v>
      </c>
      <c r="R418" t="s">
        <v>66</v>
      </c>
      <c r="S418" t="s">
        <v>66</v>
      </c>
      <c r="T418">
        <v>0</v>
      </c>
      <c r="U418">
        <v>0</v>
      </c>
      <c r="V418">
        <v>2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2</v>
      </c>
      <c r="AG418">
        <v>0</v>
      </c>
      <c r="AH418">
        <v>5</v>
      </c>
      <c r="AI418">
        <v>2</v>
      </c>
      <c r="AJ418">
        <v>31</v>
      </c>
      <c r="AK418">
        <v>2</v>
      </c>
      <c r="AL418">
        <v>39</v>
      </c>
      <c r="AM418">
        <v>0</v>
      </c>
      <c r="AN418" t="s">
        <v>1594</v>
      </c>
      <c r="AO418" t="s">
        <v>68</v>
      </c>
      <c r="AP418">
        <v>1.218</v>
      </c>
      <c r="AQ418" t="s">
        <v>69</v>
      </c>
      <c r="AR418">
        <v>70</v>
      </c>
      <c r="AS418">
        <v>2</v>
      </c>
      <c r="AT418">
        <v>3.1419999999999997E-2</v>
      </c>
      <c r="AU418">
        <v>-5.2399999999999999E-3</v>
      </c>
      <c r="AV418">
        <v>0.14094999999999999</v>
      </c>
      <c r="AW418">
        <v>-2.46E-2</v>
      </c>
      <c r="AX418">
        <v>9.7000000000000005E-4</v>
      </c>
      <c r="AY418">
        <v>-2.3000000000000001E-4</v>
      </c>
      <c r="AZ418">
        <v>6.8599999999999998E-3</v>
      </c>
      <c r="BA418">
        <v>1</v>
      </c>
      <c r="BB418" t="s">
        <v>70</v>
      </c>
      <c r="BC418">
        <v>0.80100000000000005</v>
      </c>
      <c r="BD418">
        <v>0.29099999999999998</v>
      </c>
      <c r="BE418" t="s">
        <v>71</v>
      </c>
    </row>
    <row r="419" spans="1:57">
      <c r="A419">
        <v>1553</v>
      </c>
      <c r="B419" t="s">
        <v>1595</v>
      </c>
      <c r="D419" t="s">
        <v>60</v>
      </c>
      <c r="E419" t="s">
        <v>1596</v>
      </c>
      <c r="F419" t="s">
        <v>1597</v>
      </c>
      <c r="G419">
        <v>363</v>
      </c>
      <c r="H419" t="s">
        <v>85</v>
      </c>
      <c r="I419">
        <v>4</v>
      </c>
      <c r="J419" t="str">
        <f>HYPERLINK("Gene1553-zp_tree_all.dnd", "Gene1553-tree")</f>
        <v>Gene1553-tree</v>
      </c>
      <c r="K419">
        <v>1</v>
      </c>
      <c r="L419">
        <v>3</v>
      </c>
      <c r="M419">
        <v>1</v>
      </c>
      <c r="N419">
        <v>3</v>
      </c>
      <c r="O419">
        <v>0.75</v>
      </c>
      <c r="P419" t="s">
        <v>65</v>
      </c>
      <c r="Q419" t="s">
        <v>86</v>
      </c>
      <c r="R419" t="s">
        <v>66</v>
      </c>
      <c r="S419" t="s">
        <v>66</v>
      </c>
      <c r="T419">
        <v>1</v>
      </c>
      <c r="U419">
        <v>2</v>
      </c>
      <c r="V419">
        <v>8</v>
      </c>
      <c r="W419">
        <v>0.2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2</v>
      </c>
      <c r="AE419">
        <v>2</v>
      </c>
      <c r="AF419">
        <v>8</v>
      </c>
      <c r="AG419">
        <v>0.2</v>
      </c>
      <c r="AH419">
        <v>4</v>
      </c>
      <c r="AI419">
        <v>1</v>
      </c>
      <c r="AJ419">
        <v>48</v>
      </c>
      <c r="AK419">
        <v>11</v>
      </c>
      <c r="AL419">
        <v>1</v>
      </c>
      <c r="AM419">
        <v>1</v>
      </c>
      <c r="AN419" t="s">
        <v>1598</v>
      </c>
      <c r="AO419" t="s">
        <v>1599</v>
      </c>
      <c r="AP419">
        <v>3.1760000000000002</v>
      </c>
      <c r="AQ419" t="s">
        <v>69</v>
      </c>
      <c r="AR419">
        <v>49</v>
      </c>
      <c r="AS419">
        <v>12</v>
      </c>
      <c r="AT419">
        <v>2.7400000000000001E-2</v>
      </c>
      <c r="AU419">
        <v>-7.0000000000000001E-3</v>
      </c>
      <c r="AV419">
        <v>0.10238</v>
      </c>
      <c r="AW419">
        <v>-2.8969999999999999E-2</v>
      </c>
      <c r="AX419">
        <v>7.2500000000000004E-3</v>
      </c>
      <c r="AY419">
        <v>-1.4E-3</v>
      </c>
      <c r="AZ419">
        <v>7.0849999999999996E-2</v>
      </c>
      <c r="BA419">
        <v>1</v>
      </c>
      <c r="BB419" t="s">
        <v>70</v>
      </c>
      <c r="BC419">
        <v>-0.42199999999999999</v>
      </c>
      <c r="BD419">
        <v>-0.75700000000000001</v>
      </c>
      <c r="BE419" t="s">
        <v>71</v>
      </c>
    </row>
    <row r="420" spans="1:57">
      <c r="A420">
        <v>1554</v>
      </c>
      <c r="B420" t="s">
        <v>1600</v>
      </c>
      <c r="D420" t="s">
        <v>60</v>
      </c>
      <c r="E420" t="s">
        <v>1601</v>
      </c>
      <c r="F420" t="s">
        <v>1602</v>
      </c>
      <c r="G420">
        <v>303</v>
      </c>
      <c r="H420" t="s">
        <v>63</v>
      </c>
      <c r="I420">
        <v>5</v>
      </c>
      <c r="J420" t="str">
        <f>HYPERLINK("Gene1554-zp_tree_all.dnd", "Gene1554-tree")</f>
        <v>Gene1554-tree</v>
      </c>
      <c r="K420">
        <v>4</v>
      </c>
      <c r="L420">
        <v>1</v>
      </c>
      <c r="M420">
        <v>4</v>
      </c>
      <c r="N420">
        <v>1</v>
      </c>
      <c r="O420">
        <v>0.2</v>
      </c>
      <c r="P420" t="s">
        <v>64</v>
      </c>
      <c r="Q420" t="s">
        <v>65</v>
      </c>
      <c r="R420" t="s">
        <v>66</v>
      </c>
      <c r="S420" t="s">
        <v>66</v>
      </c>
      <c r="T420">
        <v>0</v>
      </c>
      <c r="U420">
        <v>0</v>
      </c>
      <c r="V420">
        <v>2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5</v>
      </c>
      <c r="AI420">
        <v>2</v>
      </c>
      <c r="AJ420">
        <v>27</v>
      </c>
      <c r="AK420">
        <v>1</v>
      </c>
      <c r="AL420">
        <v>28</v>
      </c>
      <c r="AM420">
        <v>1</v>
      </c>
      <c r="AN420" t="s">
        <v>1603</v>
      </c>
      <c r="AO420" t="s">
        <v>1604</v>
      </c>
      <c r="AP420">
        <v>4.7E-2</v>
      </c>
      <c r="AQ420" t="s">
        <v>69</v>
      </c>
      <c r="AR420">
        <v>55</v>
      </c>
      <c r="AS420">
        <v>2</v>
      </c>
      <c r="AT420">
        <v>3.014E-2</v>
      </c>
      <c r="AU420">
        <v>-5.11E-3</v>
      </c>
      <c r="AV420">
        <v>0.14349999999999999</v>
      </c>
      <c r="AW420">
        <v>-2.5239999999999999E-2</v>
      </c>
      <c r="AX420">
        <v>1.4300000000000001E-3</v>
      </c>
      <c r="AY420">
        <v>-3.5E-4</v>
      </c>
      <c r="AZ420">
        <v>9.9500000000000005E-3</v>
      </c>
      <c r="BA420">
        <v>1</v>
      </c>
      <c r="BB420" t="s">
        <v>70</v>
      </c>
      <c r="BC420">
        <v>0.73799999999999999</v>
      </c>
      <c r="BD420">
        <v>0.496</v>
      </c>
      <c r="BE420" t="s">
        <v>71</v>
      </c>
    </row>
    <row r="421" spans="1:57">
      <c r="A421">
        <v>1555</v>
      </c>
      <c r="B421" t="s">
        <v>1605</v>
      </c>
      <c r="D421" t="s">
        <v>60</v>
      </c>
      <c r="E421" t="s">
        <v>1606</v>
      </c>
      <c r="F421" t="s">
        <v>1607</v>
      </c>
      <c r="G421">
        <v>263</v>
      </c>
      <c r="H421" t="s">
        <v>63</v>
      </c>
      <c r="I421">
        <v>5</v>
      </c>
      <c r="J421" t="str">
        <f>HYPERLINK("Gene1555-zp_tree_all.dnd", "Gene1555-tree")</f>
        <v>Gene1555-tree</v>
      </c>
      <c r="K421">
        <v>4</v>
      </c>
      <c r="L421">
        <v>1</v>
      </c>
      <c r="M421">
        <v>4</v>
      </c>
      <c r="N421">
        <v>1</v>
      </c>
      <c r="O421">
        <v>0.2</v>
      </c>
      <c r="P421" t="s">
        <v>64</v>
      </c>
      <c r="Q421" t="s">
        <v>65</v>
      </c>
      <c r="R421" t="s">
        <v>66</v>
      </c>
      <c r="S421" t="s">
        <v>66</v>
      </c>
      <c r="T421">
        <v>0</v>
      </c>
      <c r="U421">
        <v>0</v>
      </c>
      <c r="V421">
        <v>4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5</v>
      </c>
      <c r="AI421">
        <v>2</v>
      </c>
      <c r="AJ421">
        <v>18</v>
      </c>
      <c r="AK421">
        <v>1</v>
      </c>
      <c r="AL421">
        <v>26</v>
      </c>
      <c r="AM421">
        <v>3</v>
      </c>
      <c r="AN421" t="s">
        <v>1608</v>
      </c>
      <c r="AO421" t="s">
        <v>1609</v>
      </c>
      <c r="AP421">
        <v>0.28699999999999998</v>
      </c>
      <c r="AQ421" t="s">
        <v>69</v>
      </c>
      <c r="AR421">
        <v>44</v>
      </c>
      <c r="AS421">
        <v>4</v>
      </c>
      <c r="AT421">
        <v>3.0800000000000001E-2</v>
      </c>
      <c r="AU421">
        <v>-5.6299999999999996E-3</v>
      </c>
      <c r="AV421">
        <v>0.15128</v>
      </c>
      <c r="AW421">
        <v>-2.8670000000000001E-2</v>
      </c>
      <c r="AX421">
        <v>3.5500000000000002E-3</v>
      </c>
      <c r="AY421">
        <v>-6.6E-4</v>
      </c>
      <c r="AZ421">
        <v>2.3460000000000002E-2</v>
      </c>
      <c r="BA421">
        <v>1</v>
      </c>
      <c r="BB421" t="s">
        <v>70</v>
      </c>
      <c r="BC421">
        <v>0.94199999999999995</v>
      </c>
      <c r="BD421">
        <v>0.48799999999999999</v>
      </c>
      <c r="BE421" t="s">
        <v>71</v>
      </c>
    </row>
    <row r="422" spans="1:57">
      <c r="A422">
        <v>1558</v>
      </c>
      <c r="B422" t="s">
        <v>1610</v>
      </c>
      <c r="D422" t="s">
        <v>60</v>
      </c>
      <c r="E422" t="s">
        <v>1611</v>
      </c>
      <c r="F422" t="s">
        <v>1612</v>
      </c>
      <c r="G422">
        <v>121</v>
      </c>
      <c r="H422" t="s">
        <v>63</v>
      </c>
      <c r="I422">
        <v>5</v>
      </c>
      <c r="J422" t="str">
        <f>HYPERLINK("Gene1558-zp_tree_all.dnd", "Gene1558-tree")</f>
        <v>Gene1558-tree</v>
      </c>
      <c r="K422">
        <v>3</v>
      </c>
      <c r="L422">
        <v>2</v>
      </c>
      <c r="M422">
        <v>2</v>
      </c>
      <c r="N422">
        <v>2</v>
      </c>
      <c r="O422">
        <v>0.5</v>
      </c>
      <c r="P422" t="s">
        <v>185</v>
      </c>
      <c r="Q422" t="s">
        <v>124</v>
      </c>
      <c r="R422" t="s">
        <v>66</v>
      </c>
      <c r="S422" t="s">
        <v>66</v>
      </c>
      <c r="T422">
        <v>0</v>
      </c>
      <c r="U422">
        <v>0</v>
      </c>
      <c r="V422">
        <v>2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2</v>
      </c>
      <c r="AG422">
        <v>0</v>
      </c>
      <c r="AH422">
        <v>3</v>
      </c>
      <c r="AI422">
        <v>1</v>
      </c>
      <c r="AJ422">
        <v>7</v>
      </c>
      <c r="AK422">
        <v>2</v>
      </c>
      <c r="AL422">
        <v>5</v>
      </c>
      <c r="AM422">
        <v>0</v>
      </c>
      <c r="AN422" t="s">
        <v>1613</v>
      </c>
      <c r="AO422" t="s">
        <v>68</v>
      </c>
      <c r="AP422">
        <v>3.1930000000000001</v>
      </c>
      <c r="AQ422" t="s">
        <v>239</v>
      </c>
      <c r="AR422">
        <v>12</v>
      </c>
      <c r="AS422">
        <v>2</v>
      </c>
      <c r="AT422">
        <v>2.1579999999999998E-2</v>
      </c>
      <c r="AU422">
        <v>-3.2699999999999999E-3</v>
      </c>
      <c r="AV422">
        <v>8.1490000000000007E-2</v>
      </c>
      <c r="AW422">
        <v>-1.3429999999999999E-2</v>
      </c>
      <c r="AX422">
        <v>3.6600000000000001E-3</v>
      </c>
      <c r="AY422">
        <v>-6.0999999999999997E-4</v>
      </c>
      <c r="AZ422">
        <v>4.4970000000000003E-2</v>
      </c>
      <c r="BA422">
        <v>1</v>
      </c>
      <c r="BB422" t="s">
        <v>70</v>
      </c>
      <c r="BC422">
        <v>-0.13</v>
      </c>
      <c r="BD422">
        <v>-0.13</v>
      </c>
      <c r="BE422" t="s">
        <v>71</v>
      </c>
    </row>
    <row r="423" spans="1:57">
      <c r="A423">
        <v>1559</v>
      </c>
      <c r="B423" t="s">
        <v>1614</v>
      </c>
      <c r="D423" t="s">
        <v>60</v>
      </c>
      <c r="E423" t="s">
        <v>1615</v>
      </c>
      <c r="F423" t="s">
        <v>1616</v>
      </c>
      <c r="G423">
        <v>440</v>
      </c>
      <c r="H423" t="s">
        <v>63</v>
      </c>
      <c r="I423">
        <v>5</v>
      </c>
      <c r="J423" t="str">
        <f>HYPERLINK("Gene1559-zp_tree_all.dnd", "Gene1559-tree")</f>
        <v>Gene1559-tree</v>
      </c>
      <c r="K423">
        <v>2</v>
      </c>
      <c r="L423">
        <v>3</v>
      </c>
      <c r="M423">
        <v>2</v>
      </c>
      <c r="N423">
        <v>3</v>
      </c>
      <c r="O423">
        <v>0.6</v>
      </c>
      <c r="P423" t="s">
        <v>124</v>
      </c>
      <c r="Q423" t="s">
        <v>86</v>
      </c>
      <c r="R423" t="s">
        <v>66</v>
      </c>
      <c r="S423" t="s">
        <v>66</v>
      </c>
      <c r="T423">
        <v>0</v>
      </c>
      <c r="U423">
        <v>0</v>
      </c>
      <c r="V423">
        <v>7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7</v>
      </c>
      <c r="AG423">
        <v>0</v>
      </c>
      <c r="AH423">
        <v>4</v>
      </c>
      <c r="AI423">
        <v>2</v>
      </c>
      <c r="AJ423">
        <v>22</v>
      </c>
      <c r="AK423">
        <v>3</v>
      </c>
      <c r="AL423">
        <v>18</v>
      </c>
      <c r="AM423">
        <v>4</v>
      </c>
      <c r="AN423" t="s">
        <v>1617</v>
      </c>
      <c r="AO423" t="s">
        <v>1618</v>
      </c>
      <c r="AP423">
        <v>0.32500000000000001</v>
      </c>
      <c r="AQ423" t="s">
        <v>69</v>
      </c>
      <c r="AR423">
        <v>40</v>
      </c>
      <c r="AS423">
        <v>7</v>
      </c>
      <c r="AT423">
        <v>1.7049999999999999E-2</v>
      </c>
      <c r="AU423">
        <v>-2.82E-3</v>
      </c>
      <c r="AV423">
        <v>6.6900000000000001E-2</v>
      </c>
      <c r="AW423">
        <v>-1.107E-2</v>
      </c>
      <c r="AX423">
        <v>3.5400000000000002E-3</v>
      </c>
      <c r="AY423">
        <v>-6.8000000000000005E-4</v>
      </c>
      <c r="AZ423">
        <v>5.2859999999999997E-2</v>
      </c>
      <c r="BA423">
        <v>1</v>
      </c>
      <c r="BB423" t="s">
        <v>70</v>
      </c>
      <c r="BC423">
        <v>0.314</v>
      </c>
      <c r="BD423">
        <v>0</v>
      </c>
      <c r="BE423" t="s">
        <v>71</v>
      </c>
    </row>
    <row r="424" spans="1:57">
      <c r="A424">
        <v>1560</v>
      </c>
      <c r="B424" t="s">
        <v>1619</v>
      </c>
      <c r="D424" t="s">
        <v>60</v>
      </c>
      <c r="E424" t="s">
        <v>1620</v>
      </c>
      <c r="F424" t="s">
        <v>1621</v>
      </c>
      <c r="G424">
        <v>382</v>
      </c>
      <c r="H424" t="s">
        <v>63</v>
      </c>
      <c r="I424">
        <v>5</v>
      </c>
      <c r="J424" t="str">
        <f>HYPERLINK("Gene1560-zp_tree_all.dnd", "Gene1560-tree")</f>
        <v>Gene1560-tree</v>
      </c>
      <c r="K424">
        <v>3</v>
      </c>
      <c r="L424">
        <v>2</v>
      </c>
      <c r="M424">
        <v>3</v>
      </c>
      <c r="N424">
        <v>2</v>
      </c>
      <c r="O424">
        <v>0.4</v>
      </c>
      <c r="P424" t="s">
        <v>86</v>
      </c>
      <c r="Q424" t="s">
        <v>124</v>
      </c>
      <c r="R424" t="s">
        <v>66</v>
      </c>
      <c r="S424" t="s">
        <v>66</v>
      </c>
      <c r="T424">
        <v>0</v>
      </c>
      <c r="U424">
        <v>0</v>
      </c>
      <c r="V424">
        <v>3</v>
      </c>
      <c r="W424">
        <v>0</v>
      </c>
      <c r="X424">
        <v>0</v>
      </c>
      <c r="Y424">
        <v>0</v>
      </c>
      <c r="Z424">
        <v>0</v>
      </c>
      <c r="AA424">
        <v>2</v>
      </c>
      <c r="AB424">
        <v>0</v>
      </c>
      <c r="AC424">
        <v>0</v>
      </c>
      <c r="AD424">
        <v>0</v>
      </c>
      <c r="AE424">
        <v>0</v>
      </c>
      <c r="AF424">
        <v>3</v>
      </c>
      <c r="AG424">
        <v>0</v>
      </c>
      <c r="AH424">
        <v>5</v>
      </c>
      <c r="AI424">
        <v>2</v>
      </c>
      <c r="AJ424">
        <v>24</v>
      </c>
      <c r="AK424">
        <v>3</v>
      </c>
      <c r="AL424">
        <v>35</v>
      </c>
      <c r="AM424">
        <v>1</v>
      </c>
      <c r="AN424" t="s">
        <v>1622</v>
      </c>
      <c r="AO424" t="s">
        <v>1623</v>
      </c>
      <c r="AP424">
        <v>0.67</v>
      </c>
      <c r="AQ424" t="s">
        <v>69</v>
      </c>
      <c r="AR424">
        <v>59</v>
      </c>
      <c r="AS424">
        <v>4</v>
      </c>
      <c r="AT424">
        <v>2.827E-2</v>
      </c>
      <c r="AU424">
        <v>-5.3099999999999996E-3</v>
      </c>
      <c r="AV424">
        <v>0.12808</v>
      </c>
      <c r="AW424">
        <v>-2.554E-2</v>
      </c>
      <c r="AX424">
        <v>2.0500000000000002E-3</v>
      </c>
      <c r="AY424">
        <v>-3.8999999999999999E-4</v>
      </c>
      <c r="AZ424">
        <v>1.6039999999999999E-2</v>
      </c>
      <c r="BA424">
        <v>1</v>
      </c>
      <c r="BB424" t="s">
        <v>70</v>
      </c>
      <c r="BC424">
        <v>0.54100000000000004</v>
      </c>
      <c r="BD424">
        <v>0.54100000000000004</v>
      </c>
      <c r="BE424" t="s">
        <v>71</v>
      </c>
    </row>
    <row r="425" spans="1:57">
      <c r="A425">
        <v>1564</v>
      </c>
      <c r="B425" t="s">
        <v>1624</v>
      </c>
      <c r="D425" t="s">
        <v>60</v>
      </c>
      <c r="E425" t="s">
        <v>1625</v>
      </c>
      <c r="F425" t="s">
        <v>1626</v>
      </c>
      <c r="G425">
        <v>260</v>
      </c>
      <c r="H425" t="s">
        <v>63</v>
      </c>
      <c r="I425">
        <v>5</v>
      </c>
      <c r="J425" t="str">
        <f>HYPERLINK("Gene1564-zp_tree_all.dnd", "Gene1564-tree")</f>
        <v>Gene1564-tree</v>
      </c>
      <c r="K425">
        <v>5</v>
      </c>
      <c r="L425">
        <v>0</v>
      </c>
      <c r="M425">
        <v>5</v>
      </c>
      <c r="N425">
        <v>0</v>
      </c>
      <c r="O425">
        <v>0</v>
      </c>
      <c r="P425" t="s">
        <v>96</v>
      </c>
      <c r="Q425" t="s">
        <v>66</v>
      </c>
      <c r="R425" t="s">
        <v>66</v>
      </c>
      <c r="S425" t="s">
        <v>66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5</v>
      </c>
      <c r="AI425">
        <v>2</v>
      </c>
      <c r="AJ425">
        <v>14</v>
      </c>
      <c r="AK425">
        <v>0</v>
      </c>
      <c r="AL425">
        <v>15</v>
      </c>
      <c r="AM425">
        <v>1</v>
      </c>
      <c r="AN425" t="s">
        <v>68</v>
      </c>
      <c r="AO425" t="s">
        <v>1627</v>
      </c>
      <c r="AP425">
        <v>0.91</v>
      </c>
      <c r="AQ425" t="s">
        <v>69</v>
      </c>
      <c r="AR425">
        <v>29</v>
      </c>
      <c r="AS425">
        <v>1</v>
      </c>
      <c r="AT425">
        <v>1.949E-2</v>
      </c>
      <c r="AU425">
        <v>-3.3600000000000001E-3</v>
      </c>
      <c r="AV425">
        <v>9.5039999999999999E-2</v>
      </c>
      <c r="AW425">
        <v>-1.6580000000000001E-2</v>
      </c>
      <c r="AX425">
        <v>9.7999999999999997E-4</v>
      </c>
      <c r="AY425">
        <v>-2.3000000000000001E-4</v>
      </c>
      <c r="AZ425">
        <v>1.03E-2</v>
      </c>
      <c r="BA425">
        <v>1</v>
      </c>
      <c r="BB425" t="s">
        <v>70</v>
      </c>
      <c r="BC425">
        <v>0.41499999999999998</v>
      </c>
      <c r="BD425">
        <v>0.41499999999999998</v>
      </c>
      <c r="BE425" t="s">
        <v>71</v>
      </c>
    </row>
    <row r="426" spans="1:57">
      <c r="A426">
        <v>1567</v>
      </c>
      <c r="B426" t="s">
        <v>1628</v>
      </c>
      <c r="D426" t="s">
        <v>60</v>
      </c>
      <c r="E426" t="s">
        <v>1629</v>
      </c>
      <c r="F426" t="s">
        <v>74</v>
      </c>
      <c r="G426">
        <v>81</v>
      </c>
      <c r="H426" t="s">
        <v>63</v>
      </c>
      <c r="I426">
        <v>5</v>
      </c>
      <c r="J426" t="str">
        <f>HYPERLINK("Gene1567-zp_tree_all.dnd", "Gene1567-tree")</f>
        <v>Gene1567-tree</v>
      </c>
      <c r="K426">
        <v>5</v>
      </c>
      <c r="L426">
        <v>0</v>
      </c>
      <c r="M426">
        <v>5</v>
      </c>
      <c r="N426">
        <v>0</v>
      </c>
      <c r="O426">
        <v>0</v>
      </c>
      <c r="P426" t="s">
        <v>96</v>
      </c>
      <c r="Q426" t="s">
        <v>66</v>
      </c>
      <c r="R426" t="s">
        <v>66</v>
      </c>
      <c r="S426" t="s">
        <v>66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2</v>
      </c>
      <c r="AI426">
        <v>2</v>
      </c>
      <c r="AJ426">
        <v>3</v>
      </c>
      <c r="AK426">
        <v>0</v>
      </c>
      <c r="AL426">
        <v>8</v>
      </c>
      <c r="AM426">
        <v>1</v>
      </c>
      <c r="AN426" t="s">
        <v>68</v>
      </c>
      <c r="AO426" t="s">
        <v>1630</v>
      </c>
      <c r="AP426">
        <v>1.323</v>
      </c>
      <c r="AQ426" t="s">
        <v>69</v>
      </c>
      <c r="AR426">
        <v>11</v>
      </c>
      <c r="AS426">
        <v>1</v>
      </c>
      <c r="AT426">
        <v>2.3460000000000002E-2</v>
      </c>
      <c r="AU426">
        <v>-3.6800000000000001E-3</v>
      </c>
      <c r="AV426">
        <v>0.10290000000000001</v>
      </c>
      <c r="AW426">
        <v>-1.5890000000000001E-2</v>
      </c>
      <c r="AX426">
        <v>3.1800000000000001E-3</v>
      </c>
      <c r="AY426">
        <v>-7.6000000000000004E-4</v>
      </c>
      <c r="AZ426">
        <v>3.0939999999999999E-2</v>
      </c>
      <c r="BA426">
        <v>1</v>
      </c>
      <c r="BB426" t="s">
        <v>70</v>
      </c>
      <c r="BC426">
        <v>1.3420000000000001</v>
      </c>
      <c r="BD426">
        <v>0.59599999999999997</v>
      </c>
      <c r="BE426" t="s">
        <v>71</v>
      </c>
    </row>
    <row r="427" spans="1:57">
      <c r="A427">
        <v>1568</v>
      </c>
      <c r="B427" t="s">
        <v>1631</v>
      </c>
      <c r="D427" t="s">
        <v>60</v>
      </c>
      <c r="E427" t="s">
        <v>1632</v>
      </c>
      <c r="F427" t="s">
        <v>1633</v>
      </c>
      <c r="G427">
        <v>278</v>
      </c>
      <c r="H427" t="s">
        <v>85</v>
      </c>
      <c r="I427">
        <v>4</v>
      </c>
      <c r="J427" t="str">
        <f>HYPERLINK("Gene1568-zp_tree_all.dnd", "Gene1568-tree")</f>
        <v>Gene1568-tree</v>
      </c>
      <c r="K427">
        <v>0</v>
      </c>
      <c r="L427">
        <v>4</v>
      </c>
      <c r="M427">
        <v>0</v>
      </c>
      <c r="N427">
        <v>4</v>
      </c>
      <c r="O427">
        <v>1</v>
      </c>
      <c r="P427" t="s">
        <v>66</v>
      </c>
      <c r="Q427" t="s">
        <v>64</v>
      </c>
      <c r="R427" t="s">
        <v>66</v>
      </c>
      <c r="S427" t="s">
        <v>66</v>
      </c>
      <c r="T427">
        <v>1</v>
      </c>
      <c r="U427">
        <v>2</v>
      </c>
      <c r="V427">
        <v>16</v>
      </c>
      <c r="W427">
        <v>0.11111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</v>
      </c>
      <c r="AE427">
        <v>2</v>
      </c>
      <c r="AF427">
        <v>16</v>
      </c>
      <c r="AG427">
        <v>0.11111</v>
      </c>
      <c r="AH427">
        <v>4</v>
      </c>
      <c r="AI427">
        <v>1</v>
      </c>
      <c r="AJ427">
        <v>30</v>
      </c>
      <c r="AK427">
        <v>18</v>
      </c>
      <c r="AL427">
        <v>1</v>
      </c>
      <c r="AM427">
        <v>0</v>
      </c>
      <c r="AN427" t="s">
        <v>1634</v>
      </c>
      <c r="AO427" t="s">
        <v>68</v>
      </c>
      <c r="AP427">
        <v>0.71099999999999997</v>
      </c>
      <c r="AQ427" t="s">
        <v>69</v>
      </c>
      <c r="AR427">
        <v>31</v>
      </c>
      <c r="AS427">
        <v>18</v>
      </c>
      <c r="AT427">
        <v>2.938E-2</v>
      </c>
      <c r="AU427">
        <v>-8.0800000000000004E-3</v>
      </c>
      <c r="AV427">
        <v>9.1789999999999997E-2</v>
      </c>
      <c r="AW427">
        <v>-3.0099999999999998E-2</v>
      </c>
      <c r="AX427">
        <v>1.406E-2</v>
      </c>
      <c r="AY427">
        <v>-2.8E-3</v>
      </c>
      <c r="AZ427">
        <v>0.15315000000000001</v>
      </c>
      <c r="BA427">
        <v>1</v>
      </c>
      <c r="BB427" t="s">
        <v>70</v>
      </c>
      <c r="BC427">
        <v>-0.66800000000000004</v>
      </c>
      <c r="BD427">
        <v>-0.86699999999999999</v>
      </c>
      <c r="BE427" t="s">
        <v>71</v>
      </c>
    </row>
    <row r="428" spans="1:57">
      <c r="A428">
        <v>1569</v>
      </c>
      <c r="B428" t="s">
        <v>1635</v>
      </c>
      <c r="D428" t="s">
        <v>60</v>
      </c>
      <c r="E428" t="s">
        <v>1636</v>
      </c>
      <c r="F428" t="s">
        <v>74</v>
      </c>
      <c r="G428">
        <v>230</v>
      </c>
      <c r="H428" t="s">
        <v>63</v>
      </c>
      <c r="I428">
        <v>5</v>
      </c>
      <c r="J428" t="str">
        <f>HYPERLINK("Gene1569-zp_tree_all.dnd", "Gene1569-tree")</f>
        <v>Gene1569-tree</v>
      </c>
      <c r="K428">
        <v>1</v>
      </c>
      <c r="L428">
        <v>4</v>
      </c>
      <c r="M428">
        <v>1</v>
      </c>
      <c r="N428">
        <v>4</v>
      </c>
      <c r="O428">
        <v>0.8</v>
      </c>
      <c r="P428" t="s">
        <v>65</v>
      </c>
      <c r="Q428" t="s">
        <v>64</v>
      </c>
      <c r="R428" t="s">
        <v>66</v>
      </c>
      <c r="S428" t="s">
        <v>66</v>
      </c>
      <c r="T428">
        <v>0</v>
      </c>
      <c r="U428">
        <v>0</v>
      </c>
      <c r="V428">
        <v>14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14</v>
      </c>
      <c r="AG428">
        <v>0</v>
      </c>
      <c r="AH428">
        <v>3</v>
      </c>
      <c r="AI428">
        <v>2</v>
      </c>
      <c r="AJ428">
        <v>7</v>
      </c>
      <c r="AK428">
        <v>4</v>
      </c>
      <c r="AL428">
        <v>12</v>
      </c>
      <c r="AM428">
        <v>10</v>
      </c>
      <c r="AN428" t="s">
        <v>1637</v>
      </c>
      <c r="AO428" t="s">
        <v>1638</v>
      </c>
      <c r="AP428">
        <v>0.28799999999999998</v>
      </c>
      <c r="AQ428" t="s">
        <v>69</v>
      </c>
      <c r="AR428">
        <v>19</v>
      </c>
      <c r="AS428">
        <v>14</v>
      </c>
      <c r="AT428">
        <v>2.4490000000000001E-2</v>
      </c>
      <c r="AU428">
        <v>-4.5900000000000003E-3</v>
      </c>
      <c r="AV428">
        <v>6.2059999999999997E-2</v>
      </c>
      <c r="AW428">
        <v>-1.1560000000000001E-2</v>
      </c>
      <c r="AX428">
        <v>1.4489999999999999E-2</v>
      </c>
      <c r="AY428">
        <v>-2.8800000000000002E-3</v>
      </c>
      <c r="AZ428">
        <v>0.23346</v>
      </c>
      <c r="BA428">
        <v>1</v>
      </c>
      <c r="BB428" t="s">
        <v>70</v>
      </c>
      <c r="BC428">
        <v>1.016</v>
      </c>
      <c r="BD428">
        <v>0.76400000000000001</v>
      </c>
      <c r="BE428" t="s">
        <v>71</v>
      </c>
    </row>
    <row r="429" spans="1:57">
      <c r="A429">
        <v>1570</v>
      </c>
      <c r="B429" t="s">
        <v>1639</v>
      </c>
      <c r="D429" t="s">
        <v>60</v>
      </c>
      <c r="E429" t="s">
        <v>1640</v>
      </c>
      <c r="F429" t="s">
        <v>1641</v>
      </c>
      <c r="G429">
        <v>149</v>
      </c>
      <c r="H429" t="s">
        <v>63</v>
      </c>
      <c r="I429">
        <v>5</v>
      </c>
      <c r="J429" t="str">
        <f>HYPERLINK("Gene1570-zp_tree_all.dnd", "Gene1570-tree")</f>
        <v>Gene1570-tree</v>
      </c>
      <c r="K429">
        <v>3</v>
      </c>
      <c r="L429">
        <v>2</v>
      </c>
      <c r="M429">
        <v>3</v>
      </c>
      <c r="N429">
        <v>1</v>
      </c>
      <c r="O429">
        <v>0.25</v>
      </c>
      <c r="P429" t="s">
        <v>86</v>
      </c>
      <c r="Q429" t="s">
        <v>65</v>
      </c>
      <c r="R429" t="s">
        <v>66</v>
      </c>
      <c r="S429" t="s">
        <v>66</v>
      </c>
      <c r="T429">
        <v>0</v>
      </c>
      <c r="U429">
        <v>0</v>
      </c>
      <c r="V429">
        <v>3</v>
      </c>
      <c r="W429">
        <v>0</v>
      </c>
      <c r="X429">
        <v>0</v>
      </c>
      <c r="Y429">
        <v>0</v>
      </c>
      <c r="Z429">
        <v>0</v>
      </c>
      <c r="AA429">
        <v>2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3</v>
      </c>
      <c r="AI429">
        <v>1</v>
      </c>
      <c r="AJ429">
        <v>7</v>
      </c>
      <c r="AK429">
        <v>1</v>
      </c>
      <c r="AL429">
        <v>7</v>
      </c>
      <c r="AM429">
        <v>2</v>
      </c>
      <c r="AN429" t="s">
        <v>1642</v>
      </c>
      <c r="AO429" t="s">
        <v>1643</v>
      </c>
      <c r="AP429">
        <v>0.62</v>
      </c>
      <c r="AQ429" t="s">
        <v>69</v>
      </c>
      <c r="AR429">
        <v>14</v>
      </c>
      <c r="AS429">
        <v>3</v>
      </c>
      <c r="AT429">
        <v>2.2519999999999998E-2</v>
      </c>
      <c r="AU429">
        <v>-4.3800000000000002E-3</v>
      </c>
      <c r="AV429">
        <v>9.3560000000000004E-2</v>
      </c>
      <c r="AW429">
        <v>-1.9189999999999999E-2</v>
      </c>
      <c r="AX429">
        <v>5.2700000000000004E-3</v>
      </c>
      <c r="AY429">
        <v>-1.25E-3</v>
      </c>
      <c r="AZ429">
        <v>5.629E-2</v>
      </c>
      <c r="BA429">
        <v>1</v>
      </c>
      <c r="BB429" t="s">
        <v>70</v>
      </c>
      <c r="BC429">
        <v>0.75700000000000001</v>
      </c>
      <c r="BD429">
        <v>0.75700000000000001</v>
      </c>
      <c r="BE429" t="s">
        <v>71</v>
      </c>
    </row>
    <row r="430" spans="1:57">
      <c r="A430">
        <v>1571</v>
      </c>
      <c r="B430" t="s">
        <v>1644</v>
      </c>
      <c r="D430" t="s">
        <v>60</v>
      </c>
      <c r="E430" t="s">
        <v>1645</v>
      </c>
      <c r="F430" t="s">
        <v>74</v>
      </c>
      <c r="G430">
        <v>90</v>
      </c>
      <c r="H430" t="s">
        <v>63</v>
      </c>
      <c r="I430">
        <v>5</v>
      </c>
      <c r="J430" t="str">
        <f>HYPERLINK("Gene1571-zp_tree_all.dnd", "Gene1571-tree")</f>
        <v>Gene1571-tree</v>
      </c>
      <c r="K430">
        <v>4</v>
      </c>
      <c r="L430">
        <v>1</v>
      </c>
      <c r="M430">
        <v>4</v>
      </c>
      <c r="N430">
        <v>1</v>
      </c>
      <c r="O430">
        <v>0.2</v>
      </c>
      <c r="P430" t="s">
        <v>64</v>
      </c>
      <c r="Q430" t="s">
        <v>65</v>
      </c>
      <c r="R430" t="s">
        <v>66</v>
      </c>
      <c r="S430" t="s">
        <v>66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4</v>
      </c>
      <c r="AI430">
        <v>2</v>
      </c>
      <c r="AJ430">
        <v>9</v>
      </c>
      <c r="AK430">
        <v>1</v>
      </c>
      <c r="AL430">
        <v>7</v>
      </c>
      <c r="AM430">
        <v>0</v>
      </c>
      <c r="AN430" t="s">
        <v>1646</v>
      </c>
      <c r="AO430" t="s">
        <v>68</v>
      </c>
      <c r="AP430">
        <v>0.56200000000000006</v>
      </c>
      <c r="AQ430" t="s">
        <v>69</v>
      </c>
      <c r="AR430">
        <v>16</v>
      </c>
      <c r="AS430">
        <v>1</v>
      </c>
      <c r="AT430">
        <v>3.0370000000000001E-2</v>
      </c>
      <c r="AU430">
        <v>-4.7699999999999999E-3</v>
      </c>
      <c r="AV430">
        <v>0.13005</v>
      </c>
      <c r="AW430">
        <v>-2.291E-2</v>
      </c>
      <c r="AX430">
        <v>1.98E-3</v>
      </c>
      <c r="AY430">
        <v>-7.3999999999999999E-4</v>
      </c>
      <c r="AZ430">
        <v>1.52E-2</v>
      </c>
      <c r="BA430">
        <v>1</v>
      </c>
      <c r="BB430" t="s">
        <v>70</v>
      </c>
      <c r="BC430">
        <v>3.5999999999999997E-2</v>
      </c>
      <c r="BD430">
        <v>3.5999999999999997E-2</v>
      </c>
      <c r="BE430" t="s">
        <v>71</v>
      </c>
    </row>
    <row r="431" spans="1:57">
      <c r="A431">
        <v>1572</v>
      </c>
      <c r="B431" t="s">
        <v>1647</v>
      </c>
      <c r="D431" t="s">
        <v>60</v>
      </c>
      <c r="E431" t="s">
        <v>1648</v>
      </c>
      <c r="F431" t="s">
        <v>1649</v>
      </c>
      <c r="G431">
        <v>257</v>
      </c>
      <c r="H431" t="s">
        <v>63</v>
      </c>
      <c r="I431">
        <v>5</v>
      </c>
      <c r="J431" t="str">
        <f>HYPERLINK("Gene1572-zp_tree_all.dnd", "Gene1572-tree")</f>
        <v>Gene1572-tree</v>
      </c>
      <c r="K431">
        <v>1</v>
      </c>
      <c r="L431">
        <v>4</v>
      </c>
      <c r="M431">
        <v>1</v>
      </c>
      <c r="N431">
        <v>4</v>
      </c>
      <c r="O431">
        <v>0.8</v>
      </c>
      <c r="P431" t="s">
        <v>65</v>
      </c>
      <c r="Q431" t="s">
        <v>64</v>
      </c>
      <c r="R431" t="s">
        <v>66</v>
      </c>
      <c r="S431" t="s">
        <v>66</v>
      </c>
      <c r="T431">
        <v>1</v>
      </c>
      <c r="U431">
        <v>2</v>
      </c>
      <c r="V431">
        <v>10</v>
      </c>
      <c r="W431">
        <v>0.16667000000000001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2</v>
      </c>
      <c r="AE431">
        <v>2</v>
      </c>
      <c r="AF431">
        <v>10</v>
      </c>
      <c r="AG431">
        <v>0.16667000000000001</v>
      </c>
      <c r="AH431">
        <v>5</v>
      </c>
      <c r="AI431">
        <v>2</v>
      </c>
      <c r="AJ431">
        <v>39</v>
      </c>
      <c r="AK431">
        <v>9</v>
      </c>
      <c r="AL431">
        <v>16</v>
      </c>
      <c r="AM431">
        <v>3</v>
      </c>
      <c r="AN431" t="s">
        <v>1650</v>
      </c>
      <c r="AO431" t="s">
        <v>1651</v>
      </c>
      <c r="AP431">
        <v>0.25600000000000001</v>
      </c>
      <c r="AQ431" t="s">
        <v>69</v>
      </c>
      <c r="AR431">
        <v>55</v>
      </c>
      <c r="AS431">
        <v>12</v>
      </c>
      <c r="AT431">
        <v>3.7999999999999999E-2</v>
      </c>
      <c r="AU431">
        <v>-3.5699999999999998E-3</v>
      </c>
      <c r="AV431">
        <v>0.15135000000000001</v>
      </c>
      <c r="AW431">
        <v>-1.38E-2</v>
      </c>
      <c r="AX431">
        <v>8.9800000000000001E-3</v>
      </c>
      <c r="AY431">
        <v>-1.3600000000000001E-3</v>
      </c>
      <c r="AZ431">
        <v>5.9339999999999997E-2</v>
      </c>
      <c r="BA431">
        <v>1</v>
      </c>
      <c r="BB431" t="s">
        <v>70</v>
      </c>
      <c r="BC431">
        <v>5.0000000000000001E-3</v>
      </c>
      <c r="BD431">
        <v>-0.22700000000000001</v>
      </c>
      <c r="BE431" t="s">
        <v>71</v>
      </c>
    </row>
    <row r="432" spans="1:57">
      <c r="A432">
        <v>1573</v>
      </c>
      <c r="B432" t="s">
        <v>1652</v>
      </c>
      <c r="D432" t="s">
        <v>60</v>
      </c>
      <c r="E432" t="s">
        <v>1653</v>
      </c>
      <c r="F432" t="s">
        <v>1654</v>
      </c>
      <c r="G432">
        <v>164</v>
      </c>
      <c r="H432" t="s">
        <v>63</v>
      </c>
      <c r="I432">
        <v>5</v>
      </c>
      <c r="J432" t="str">
        <f>HYPERLINK("Gene1573-zp_tree_all.dnd", "Gene1573-tree")</f>
        <v>Gene1573-tree</v>
      </c>
      <c r="K432">
        <v>5</v>
      </c>
      <c r="L432">
        <v>0</v>
      </c>
      <c r="M432">
        <v>5</v>
      </c>
      <c r="N432">
        <v>0</v>
      </c>
      <c r="O432">
        <v>0</v>
      </c>
      <c r="P432" t="s">
        <v>96</v>
      </c>
      <c r="Q432" t="s">
        <v>66</v>
      </c>
      <c r="R432" t="s">
        <v>66</v>
      </c>
      <c r="S432" t="s">
        <v>66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5</v>
      </c>
      <c r="AI432">
        <v>2</v>
      </c>
      <c r="AJ432">
        <v>14</v>
      </c>
      <c r="AK432">
        <v>0</v>
      </c>
      <c r="AL432">
        <v>15</v>
      </c>
      <c r="AM432">
        <v>0</v>
      </c>
      <c r="AN432" t="s">
        <v>68</v>
      </c>
      <c r="AO432" t="s">
        <v>68</v>
      </c>
      <c r="AP432">
        <v>0</v>
      </c>
      <c r="AQ432" t="s">
        <v>69</v>
      </c>
      <c r="AR432">
        <v>29</v>
      </c>
      <c r="AS432">
        <v>0</v>
      </c>
      <c r="AT432">
        <v>2.886E-2</v>
      </c>
      <c r="AU432">
        <v>-4.8300000000000001E-3</v>
      </c>
      <c r="AV432">
        <v>0.16125999999999999</v>
      </c>
      <c r="AW432">
        <v>-2.8850000000000001E-2</v>
      </c>
      <c r="AX432">
        <v>0</v>
      </c>
      <c r="AY432">
        <v>0</v>
      </c>
      <c r="AZ432">
        <v>0</v>
      </c>
      <c r="BA432">
        <v>1</v>
      </c>
      <c r="BB432" t="s">
        <v>70</v>
      </c>
      <c r="BC432">
        <v>0.71399999999999997</v>
      </c>
      <c r="BD432">
        <v>0.48299999999999998</v>
      </c>
      <c r="BE432" t="s">
        <v>71</v>
      </c>
    </row>
    <row r="433" spans="1:57">
      <c r="A433">
        <v>1576</v>
      </c>
      <c r="B433" t="s">
        <v>1655</v>
      </c>
      <c r="D433" t="s">
        <v>60</v>
      </c>
      <c r="E433" t="s">
        <v>1656</v>
      </c>
      <c r="F433" t="s">
        <v>1657</v>
      </c>
      <c r="G433">
        <v>154</v>
      </c>
      <c r="H433" t="s">
        <v>63</v>
      </c>
      <c r="I433">
        <v>5</v>
      </c>
      <c r="J433" t="str">
        <f>HYPERLINK("Gene1576-zp_tree_all.dnd", "Gene1576-tree")</f>
        <v>Gene1576-tree</v>
      </c>
      <c r="K433">
        <v>4</v>
      </c>
      <c r="L433">
        <v>1</v>
      </c>
      <c r="M433">
        <v>4</v>
      </c>
      <c r="N433">
        <v>1</v>
      </c>
      <c r="O433">
        <v>0.2</v>
      </c>
      <c r="P433" t="s">
        <v>64</v>
      </c>
      <c r="Q433" t="s">
        <v>65</v>
      </c>
      <c r="R433" t="s">
        <v>66</v>
      </c>
      <c r="S433" t="s">
        <v>66</v>
      </c>
      <c r="T433">
        <v>0</v>
      </c>
      <c r="U433">
        <v>0</v>
      </c>
      <c r="V433">
        <v>2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1</v>
      </c>
      <c r="AG433">
        <v>0</v>
      </c>
      <c r="AH433">
        <v>3</v>
      </c>
      <c r="AI433">
        <v>2</v>
      </c>
      <c r="AJ433">
        <v>5</v>
      </c>
      <c r="AK433">
        <v>1</v>
      </c>
      <c r="AL433">
        <v>17</v>
      </c>
      <c r="AM433">
        <v>1</v>
      </c>
      <c r="AN433" t="s">
        <v>1658</v>
      </c>
      <c r="AO433" t="s">
        <v>1659</v>
      </c>
      <c r="AP433">
        <v>0.58499999999999996</v>
      </c>
      <c r="AQ433" t="s">
        <v>69</v>
      </c>
      <c r="AR433">
        <v>22</v>
      </c>
      <c r="AS433">
        <v>2</v>
      </c>
      <c r="AT433">
        <v>2.8570000000000002E-2</v>
      </c>
      <c r="AU433">
        <v>-6.0600000000000003E-3</v>
      </c>
      <c r="AV433">
        <v>0.12615000000000001</v>
      </c>
      <c r="AW433">
        <v>-2.7490000000000001E-2</v>
      </c>
      <c r="AX433">
        <v>2.8400000000000001E-3</v>
      </c>
      <c r="AY433">
        <v>-6.9999999999999999E-4</v>
      </c>
      <c r="AZ433">
        <v>2.2530000000000001E-2</v>
      </c>
      <c r="BA433">
        <v>1</v>
      </c>
      <c r="BB433" t="s">
        <v>70</v>
      </c>
      <c r="BC433">
        <v>1.0840000000000001</v>
      </c>
      <c r="BD433">
        <v>1.0840000000000001</v>
      </c>
      <c r="BE433" t="s">
        <v>71</v>
      </c>
    </row>
    <row r="434" spans="1:57">
      <c r="A434">
        <v>1582</v>
      </c>
      <c r="B434" t="s">
        <v>1660</v>
      </c>
      <c r="D434" t="s">
        <v>60</v>
      </c>
      <c r="E434" t="s">
        <v>1661</v>
      </c>
      <c r="F434" t="s">
        <v>1662</v>
      </c>
      <c r="G434">
        <v>364</v>
      </c>
      <c r="H434" t="s">
        <v>85</v>
      </c>
      <c r="I434">
        <v>4</v>
      </c>
      <c r="J434" t="str">
        <f>HYPERLINK("Gene1582-zp_tree_all.dnd", "Gene1582-tree")</f>
        <v>Gene1582-tree</v>
      </c>
      <c r="K434">
        <v>2</v>
      </c>
      <c r="L434">
        <v>2</v>
      </c>
      <c r="M434">
        <v>2</v>
      </c>
      <c r="N434">
        <v>2</v>
      </c>
      <c r="O434">
        <v>0.5</v>
      </c>
      <c r="P434" t="s">
        <v>124</v>
      </c>
      <c r="Q434" t="s">
        <v>124</v>
      </c>
      <c r="R434" t="s">
        <v>66</v>
      </c>
      <c r="S434" t="s">
        <v>66</v>
      </c>
      <c r="T434">
        <v>0</v>
      </c>
      <c r="U434">
        <v>0</v>
      </c>
      <c r="V434">
        <v>6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6</v>
      </c>
      <c r="AG434">
        <v>0</v>
      </c>
      <c r="AH434">
        <v>4</v>
      </c>
      <c r="AI434">
        <v>1</v>
      </c>
      <c r="AJ434">
        <v>51</v>
      </c>
      <c r="AK434">
        <v>6</v>
      </c>
      <c r="AL434">
        <v>1</v>
      </c>
      <c r="AM434">
        <v>0</v>
      </c>
      <c r="AN434" t="s">
        <v>1663</v>
      </c>
      <c r="AO434" t="s">
        <v>68</v>
      </c>
      <c r="AP434">
        <v>0.48699999999999999</v>
      </c>
      <c r="AQ434" t="s">
        <v>69</v>
      </c>
      <c r="AR434">
        <v>52</v>
      </c>
      <c r="AS434">
        <v>6</v>
      </c>
      <c r="AT434">
        <v>2.6710000000000001E-2</v>
      </c>
      <c r="AU434">
        <v>-8.9200000000000008E-3</v>
      </c>
      <c r="AV434">
        <v>0.11700000000000001</v>
      </c>
      <c r="AW434">
        <v>-4.0230000000000002E-2</v>
      </c>
      <c r="AX434">
        <v>3.5999999999999999E-3</v>
      </c>
      <c r="AY434">
        <v>-1.17E-3</v>
      </c>
      <c r="AZ434">
        <v>3.074E-2</v>
      </c>
      <c r="BA434">
        <v>1</v>
      </c>
      <c r="BB434" t="s">
        <v>70</v>
      </c>
      <c r="BC434">
        <v>-0.81399999999999995</v>
      </c>
      <c r="BD434">
        <v>-0.81399999999999995</v>
      </c>
      <c r="BE434" t="s">
        <v>71</v>
      </c>
    </row>
    <row r="435" spans="1:57">
      <c r="A435">
        <v>1584</v>
      </c>
      <c r="B435" t="s">
        <v>1664</v>
      </c>
      <c r="D435" t="s">
        <v>60</v>
      </c>
      <c r="E435" t="s">
        <v>1665</v>
      </c>
      <c r="F435" t="s">
        <v>1666</v>
      </c>
      <c r="G435">
        <v>256</v>
      </c>
      <c r="H435" t="s">
        <v>85</v>
      </c>
      <c r="I435">
        <v>4</v>
      </c>
      <c r="J435" t="str">
        <f>HYPERLINK("Gene1584-zp_tree_all.dnd", "Gene1584-tree")</f>
        <v>Gene1584-tree</v>
      </c>
      <c r="K435">
        <v>0</v>
      </c>
      <c r="L435">
        <v>4</v>
      </c>
      <c r="M435">
        <v>0</v>
      </c>
      <c r="N435">
        <v>4</v>
      </c>
      <c r="O435">
        <v>1</v>
      </c>
      <c r="P435" t="s">
        <v>66</v>
      </c>
      <c r="Q435" t="s">
        <v>64</v>
      </c>
      <c r="R435" t="s">
        <v>66</v>
      </c>
      <c r="S435" t="s">
        <v>66</v>
      </c>
      <c r="T435">
        <v>0</v>
      </c>
      <c r="U435">
        <v>0</v>
      </c>
      <c r="V435">
        <v>10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10</v>
      </c>
      <c r="AG435">
        <v>0</v>
      </c>
      <c r="AH435">
        <v>4</v>
      </c>
      <c r="AI435">
        <v>1</v>
      </c>
      <c r="AJ435">
        <v>24</v>
      </c>
      <c r="AK435">
        <v>9</v>
      </c>
      <c r="AL435">
        <v>3</v>
      </c>
      <c r="AM435">
        <v>1</v>
      </c>
      <c r="AN435" t="s">
        <v>1667</v>
      </c>
      <c r="AO435" t="s">
        <v>1668</v>
      </c>
      <c r="AP435">
        <v>3.6999999999999998E-2</v>
      </c>
      <c r="AQ435" t="s">
        <v>69</v>
      </c>
      <c r="AR435">
        <v>27</v>
      </c>
      <c r="AS435">
        <v>10</v>
      </c>
      <c r="AT435">
        <v>2.496E-2</v>
      </c>
      <c r="AU435">
        <v>-6.3699999999999998E-3</v>
      </c>
      <c r="AV435">
        <v>8.4140000000000006E-2</v>
      </c>
      <c r="AW435">
        <v>-2.7130000000000001E-2</v>
      </c>
      <c r="AX435">
        <v>8.8699999999999994E-3</v>
      </c>
      <c r="AY435">
        <v>-9.5E-4</v>
      </c>
      <c r="AZ435">
        <v>0.10544000000000001</v>
      </c>
      <c r="BA435">
        <v>1</v>
      </c>
      <c r="BB435" t="s">
        <v>70</v>
      </c>
      <c r="BC435">
        <v>-0.52200000000000002</v>
      </c>
      <c r="BD435">
        <v>-0.52200000000000002</v>
      </c>
      <c r="BE435" t="s">
        <v>71</v>
      </c>
    </row>
    <row r="436" spans="1:57">
      <c r="A436">
        <v>1588</v>
      </c>
      <c r="B436" t="s">
        <v>1669</v>
      </c>
      <c r="D436" t="s">
        <v>60</v>
      </c>
      <c r="E436" t="s">
        <v>1670</v>
      </c>
      <c r="F436" t="s">
        <v>1671</v>
      </c>
      <c r="G436">
        <v>233</v>
      </c>
      <c r="H436" t="s">
        <v>63</v>
      </c>
      <c r="I436">
        <v>5</v>
      </c>
      <c r="J436" t="str">
        <f>HYPERLINK("Gene1588-zp_tree_all.dnd", "Gene1588-tree")</f>
        <v>Gene1588-tree</v>
      </c>
      <c r="K436">
        <v>4</v>
      </c>
      <c r="L436">
        <v>1</v>
      </c>
      <c r="M436">
        <v>4</v>
      </c>
      <c r="N436">
        <v>1</v>
      </c>
      <c r="O436">
        <v>0.2</v>
      </c>
      <c r="P436" t="s">
        <v>64</v>
      </c>
      <c r="Q436" t="s">
        <v>65</v>
      </c>
      <c r="R436" t="s">
        <v>66</v>
      </c>
      <c r="S436" t="s">
        <v>66</v>
      </c>
      <c r="T436">
        <v>0</v>
      </c>
      <c r="U436">
        <v>0</v>
      </c>
      <c r="V436">
        <v>2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2</v>
      </c>
      <c r="AG436">
        <v>0</v>
      </c>
      <c r="AH436">
        <v>5</v>
      </c>
      <c r="AI436">
        <v>2</v>
      </c>
      <c r="AJ436">
        <v>25</v>
      </c>
      <c r="AK436">
        <v>2</v>
      </c>
      <c r="AL436">
        <v>18</v>
      </c>
      <c r="AM436">
        <v>0</v>
      </c>
      <c r="AN436" t="s">
        <v>1672</v>
      </c>
      <c r="AO436" t="s">
        <v>68</v>
      </c>
      <c r="AP436">
        <v>0.52600000000000002</v>
      </c>
      <c r="AQ436" t="s">
        <v>69</v>
      </c>
      <c r="AR436">
        <v>43</v>
      </c>
      <c r="AS436">
        <v>2</v>
      </c>
      <c r="AT436">
        <v>2.9899999999999999E-2</v>
      </c>
      <c r="AU436">
        <v>-3.9199999999999999E-3</v>
      </c>
      <c r="AV436">
        <v>0.14333000000000001</v>
      </c>
      <c r="AW436">
        <v>-2.0920000000000001E-2</v>
      </c>
      <c r="AX436">
        <v>1.48E-3</v>
      </c>
      <c r="AY436">
        <v>-4.4000000000000002E-4</v>
      </c>
      <c r="AZ436">
        <v>1.0319999999999999E-2</v>
      </c>
      <c r="BA436">
        <v>1</v>
      </c>
      <c r="BB436" t="s">
        <v>70</v>
      </c>
      <c r="BC436">
        <v>0.27600000000000002</v>
      </c>
      <c r="BD436">
        <v>-0.06</v>
      </c>
      <c r="BE436" t="s">
        <v>71</v>
      </c>
    </row>
    <row r="437" spans="1:57">
      <c r="A437">
        <v>1597</v>
      </c>
      <c r="B437" t="s">
        <v>1678</v>
      </c>
      <c r="D437" t="s">
        <v>60</v>
      </c>
      <c r="E437" t="s">
        <v>1679</v>
      </c>
      <c r="F437" t="s">
        <v>74</v>
      </c>
      <c r="G437">
        <v>291</v>
      </c>
      <c r="H437" t="s">
        <v>63</v>
      </c>
      <c r="I437">
        <v>5</v>
      </c>
      <c r="J437" t="str">
        <f>HYPERLINK("Gene1597-zp_tree_all.dnd", "Gene1597-tree")</f>
        <v>Gene1597-tree</v>
      </c>
      <c r="K437">
        <v>2</v>
      </c>
      <c r="L437">
        <v>3</v>
      </c>
      <c r="M437">
        <v>1</v>
      </c>
      <c r="N437">
        <v>3</v>
      </c>
      <c r="O437">
        <v>0.75</v>
      </c>
      <c r="P437" t="s">
        <v>65</v>
      </c>
      <c r="Q437" t="s">
        <v>86</v>
      </c>
      <c r="R437" t="s">
        <v>66</v>
      </c>
      <c r="S437" t="s">
        <v>66</v>
      </c>
      <c r="T437">
        <v>1</v>
      </c>
      <c r="U437">
        <v>2</v>
      </c>
      <c r="V437">
        <v>11</v>
      </c>
      <c r="W437">
        <v>0.15384999999999999</v>
      </c>
      <c r="X437">
        <v>0</v>
      </c>
      <c r="Y437">
        <v>0</v>
      </c>
      <c r="Z437">
        <v>0</v>
      </c>
      <c r="AA437">
        <v>7</v>
      </c>
      <c r="AB437">
        <v>0</v>
      </c>
      <c r="AC437">
        <v>0</v>
      </c>
      <c r="AD437">
        <v>2</v>
      </c>
      <c r="AE437">
        <v>2</v>
      </c>
      <c r="AF437">
        <v>4</v>
      </c>
      <c r="AG437">
        <v>0.33333000000000002</v>
      </c>
      <c r="AH437">
        <v>4</v>
      </c>
      <c r="AI437">
        <v>1</v>
      </c>
      <c r="AJ437">
        <v>8</v>
      </c>
      <c r="AK437">
        <v>6</v>
      </c>
      <c r="AL437">
        <v>22</v>
      </c>
      <c r="AM437">
        <v>7</v>
      </c>
      <c r="AN437" t="s">
        <v>1680</v>
      </c>
      <c r="AO437" t="s">
        <v>1681</v>
      </c>
      <c r="AP437">
        <v>0.91300000000000003</v>
      </c>
      <c r="AQ437" t="s">
        <v>69</v>
      </c>
      <c r="AR437">
        <v>30</v>
      </c>
      <c r="AS437">
        <v>13</v>
      </c>
      <c r="AT437">
        <v>3.0159999999999999E-2</v>
      </c>
      <c r="AU437">
        <v>-6.5100000000000002E-3</v>
      </c>
      <c r="AV437">
        <v>0.1082</v>
      </c>
      <c r="AW437">
        <v>-2.5530000000000001E-2</v>
      </c>
      <c r="AX437">
        <v>1.132E-2</v>
      </c>
      <c r="AY437">
        <v>-2.14E-3</v>
      </c>
      <c r="AZ437">
        <v>0.10463</v>
      </c>
      <c r="BA437">
        <v>1</v>
      </c>
      <c r="BB437" t="s">
        <v>70</v>
      </c>
      <c r="BC437">
        <v>0.93400000000000005</v>
      </c>
      <c r="BD437">
        <v>0.93400000000000005</v>
      </c>
      <c r="BE437" t="s">
        <v>71</v>
      </c>
    </row>
    <row r="438" spans="1:57">
      <c r="A438">
        <v>1599</v>
      </c>
      <c r="B438" t="s">
        <v>1684</v>
      </c>
      <c r="D438" t="s">
        <v>60</v>
      </c>
      <c r="E438" t="s">
        <v>1685</v>
      </c>
      <c r="F438" t="s">
        <v>1686</v>
      </c>
      <c r="G438">
        <v>204</v>
      </c>
      <c r="H438" t="s">
        <v>63</v>
      </c>
      <c r="I438">
        <v>5</v>
      </c>
      <c r="J438" t="str">
        <f>HYPERLINK("Gene1599-zp_tree_all.dnd", "Gene1599-tree")</f>
        <v>Gene1599-tree</v>
      </c>
      <c r="K438">
        <v>4</v>
      </c>
      <c r="L438">
        <v>1</v>
      </c>
      <c r="M438">
        <v>4</v>
      </c>
      <c r="N438">
        <v>1</v>
      </c>
      <c r="O438">
        <v>0.2</v>
      </c>
      <c r="P438" t="s">
        <v>64</v>
      </c>
      <c r="Q438" t="s">
        <v>65</v>
      </c>
      <c r="R438" t="s">
        <v>66</v>
      </c>
      <c r="S438" t="s">
        <v>66</v>
      </c>
      <c r="T438">
        <v>0</v>
      </c>
      <c r="U438">
        <v>0</v>
      </c>
      <c r="V438">
        <v>3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2</v>
      </c>
      <c r="AG438">
        <v>0</v>
      </c>
      <c r="AH438">
        <v>4</v>
      </c>
      <c r="AI438">
        <v>1</v>
      </c>
      <c r="AJ438">
        <v>10</v>
      </c>
      <c r="AK438">
        <v>2</v>
      </c>
      <c r="AL438">
        <v>19</v>
      </c>
      <c r="AM438">
        <v>1</v>
      </c>
      <c r="AN438" t="s">
        <v>1687</v>
      </c>
      <c r="AO438" t="s">
        <v>1688</v>
      </c>
      <c r="AP438">
        <v>0.47299999999999998</v>
      </c>
      <c r="AQ438" t="s">
        <v>69</v>
      </c>
      <c r="AR438">
        <v>29</v>
      </c>
      <c r="AS438">
        <v>3</v>
      </c>
      <c r="AT438">
        <v>2.7289999999999998E-2</v>
      </c>
      <c r="AU438">
        <v>-5.4900000000000001E-3</v>
      </c>
      <c r="AV438">
        <v>0.12338</v>
      </c>
      <c r="AW438">
        <v>-2.554E-2</v>
      </c>
      <c r="AX438">
        <v>2.97E-3</v>
      </c>
      <c r="AY438">
        <v>-8.0999999999999996E-4</v>
      </c>
      <c r="AZ438">
        <v>2.4080000000000001E-2</v>
      </c>
      <c r="BA438">
        <v>1</v>
      </c>
      <c r="BB438" t="s">
        <v>70</v>
      </c>
      <c r="BC438">
        <v>0.91500000000000004</v>
      </c>
      <c r="BD438">
        <v>0.66400000000000003</v>
      </c>
      <c r="BE438" t="s">
        <v>71</v>
      </c>
    </row>
    <row r="439" spans="1:57">
      <c r="A439">
        <v>1600</v>
      </c>
      <c r="B439" t="s">
        <v>1689</v>
      </c>
      <c r="D439" t="s">
        <v>60</v>
      </c>
      <c r="E439" t="s">
        <v>1690</v>
      </c>
      <c r="F439" t="s">
        <v>1691</v>
      </c>
      <c r="G439">
        <v>67</v>
      </c>
      <c r="H439" t="s">
        <v>63</v>
      </c>
      <c r="I439">
        <v>5</v>
      </c>
      <c r="J439" t="str">
        <f>HYPERLINK("Gene1600-zp_tree_all.dnd", "Gene1600-tree")</f>
        <v>Gene1600-tree</v>
      </c>
      <c r="K439">
        <v>5</v>
      </c>
      <c r="L439">
        <v>0</v>
      </c>
      <c r="M439">
        <v>4</v>
      </c>
      <c r="N439">
        <v>0</v>
      </c>
      <c r="O439">
        <v>0</v>
      </c>
      <c r="P439" t="s">
        <v>135</v>
      </c>
      <c r="Q439" t="s">
        <v>66</v>
      </c>
      <c r="R439" t="s">
        <v>66</v>
      </c>
      <c r="S439" t="s">
        <v>66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2</v>
      </c>
      <c r="AI439">
        <v>1</v>
      </c>
      <c r="AJ439">
        <v>4</v>
      </c>
      <c r="AK439">
        <v>0</v>
      </c>
      <c r="AL439">
        <v>5</v>
      </c>
      <c r="AM439">
        <v>0</v>
      </c>
      <c r="AN439" t="s">
        <v>68</v>
      </c>
      <c r="AO439" t="s">
        <v>68</v>
      </c>
      <c r="AP439">
        <v>0</v>
      </c>
      <c r="AQ439" t="s">
        <v>69</v>
      </c>
      <c r="AR439">
        <v>9</v>
      </c>
      <c r="AS439">
        <v>0</v>
      </c>
      <c r="AT439">
        <v>2.4879999999999999E-2</v>
      </c>
      <c r="AU439">
        <v>-4.6899999999999997E-3</v>
      </c>
      <c r="AV439">
        <v>0.12958</v>
      </c>
      <c r="AW439">
        <v>-2.5899999999999999E-2</v>
      </c>
      <c r="AX439">
        <v>0</v>
      </c>
      <c r="AY439">
        <v>0</v>
      </c>
      <c r="AZ439">
        <v>0</v>
      </c>
      <c r="BA439">
        <v>1</v>
      </c>
      <c r="BB439" t="s">
        <v>70</v>
      </c>
      <c r="BC439">
        <v>1.5780000000000001</v>
      </c>
      <c r="BD439">
        <v>0.66100000000000003</v>
      </c>
      <c r="BE439" t="s">
        <v>71</v>
      </c>
    </row>
    <row r="440" spans="1:57">
      <c r="A440">
        <v>1606</v>
      </c>
      <c r="B440" t="s">
        <v>1692</v>
      </c>
      <c r="D440" t="s">
        <v>60</v>
      </c>
      <c r="E440" t="s">
        <v>1693</v>
      </c>
      <c r="F440" t="s">
        <v>1694</v>
      </c>
      <c r="G440">
        <v>363</v>
      </c>
      <c r="H440" t="s">
        <v>85</v>
      </c>
      <c r="I440">
        <v>4</v>
      </c>
      <c r="J440" t="str">
        <f>HYPERLINK("Gene1606-zp_tree_all.dnd", "Gene1606-tree")</f>
        <v>Gene1606-tree</v>
      </c>
      <c r="K440">
        <v>2</v>
      </c>
      <c r="L440">
        <v>2</v>
      </c>
      <c r="M440">
        <v>2</v>
      </c>
      <c r="N440">
        <v>2</v>
      </c>
      <c r="O440">
        <v>0.5</v>
      </c>
      <c r="P440" t="s">
        <v>124</v>
      </c>
      <c r="Q440" t="s">
        <v>124</v>
      </c>
      <c r="R440" t="s">
        <v>66</v>
      </c>
      <c r="S440" t="s">
        <v>66</v>
      </c>
      <c r="T440">
        <v>0</v>
      </c>
      <c r="U440">
        <v>0</v>
      </c>
      <c r="V440">
        <v>8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7</v>
      </c>
      <c r="AG440">
        <v>0</v>
      </c>
      <c r="AH440">
        <v>4</v>
      </c>
      <c r="AI440">
        <v>1</v>
      </c>
      <c r="AJ440">
        <v>55</v>
      </c>
      <c r="AK440">
        <v>7</v>
      </c>
      <c r="AL440">
        <v>5</v>
      </c>
      <c r="AM440">
        <v>1</v>
      </c>
      <c r="AN440" t="s">
        <v>1695</v>
      </c>
      <c r="AO440" t="s">
        <v>1696</v>
      </c>
      <c r="AP440">
        <v>0.40400000000000003</v>
      </c>
      <c r="AQ440" t="s">
        <v>69</v>
      </c>
      <c r="AR440">
        <v>60</v>
      </c>
      <c r="AS440">
        <v>8</v>
      </c>
      <c r="AT440">
        <v>3.1530000000000002E-2</v>
      </c>
      <c r="AU440">
        <v>-7.8200000000000006E-3</v>
      </c>
      <c r="AV440">
        <v>0.13925999999999999</v>
      </c>
      <c r="AW440">
        <v>-3.5880000000000002E-2</v>
      </c>
      <c r="AX440">
        <v>4.9699999999999996E-3</v>
      </c>
      <c r="AY440">
        <v>-1.42E-3</v>
      </c>
      <c r="AZ440">
        <v>3.5650000000000001E-2</v>
      </c>
      <c r="BA440">
        <v>1</v>
      </c>
      <c r="BB440" t="s">
        <v>70</v>
      </c>
      <c r="BC440">
        <v>-0.48299999999999998</v>
      </c>
      <c r="BD440">
        <v>-0.77300000000000002</v>
      </c>
      <c r="BE440" t="s">
        <v>71</v>
      </c>
    </row>
    <row r="441" spans="1:57">
      <c r="A441">
        <v>1607</v>
      </c>
      <c r="B441" t="s">
        <v>1697</v>
      </c>
      <c r="D441" t="s">
        <v>60</v>
      </c>
      <c r="E441" t="s">
        <v>1698</v>
      </c>
      <c r="F441" t="s">
        <v>1699</v>
      </c>
      <c r="G441">
        <v>254</v>
      </c>
      <c r="H441" t="s">
        <v>63</v>
      </c>
      <c r="I441">
        <v>5</v>
      </c>
      <c r="J441" t="str">
        <f>HYPERLINK("Gene1607-zp_tree_all.dnd", "Gene1607-tree")</f>
        <v>Gene1607-tree</v>
      </c>
      <c r="K441">
        <v>3</v>
      </c>
      <c r="L441">
        <v>2</v>
      </c>
      <c r="M441">
        <v>3</v>
      </c>
      <c r="N441">
        <v>2</v>
      </c>
      <c r="O441">
        <v>0.4</v>
      </c>
      <c r="P441" t="s">
        <v>86</v>
      </c>
      <c r="Q441" t="s">
        <v>124</v>
      </c>
      <c r="R441" t="s">
        <v>66</v>
      </c>
      <c r="S441" t="s">
        <v>66</v>
      </c>
      <c r="T441">
        <v>0</v>
      </c>
      <c r="U441">
        <v>0</v>
      </c>
      <c r="V441">
        <v>11</v>
      </c>
      <c r="W441">
        <v>0</v>
      </c>
      <c r="X441">
        <v>0</v>
      </c>
      <c r="Y441">
        <v>0</v>
      </c>
      <c r="Z441">
        <v>0</v>
      </c>
      <c r="AA441">
        <v>9</v>
      </c>
      <c r="AB441">
        <v>0</v>
      </c>
      <c r="AC441">
        <v>0</v>
      </c>
      <c r="AD441">
        <v>0</v>
      </c>
      <c r="AE441">
        <v>0</v>
      </c>
      <c r="AF441">
        <v>2</v>
      </c>
      <c r="AG441">
        <v>0</v>
      </c>
      <c r="AH441">
        <v>5</v>
      </c>
      <c r="AI441">
        <v>2</v>
      </c>
      <c r="AJ441">
        <v>18</v>
      </c>
      <c r="AK441">
        <v>2</v>
      </c>
      <c r="AL441">
        <v>17</v>
      </c>
      <c r="AM441">
        <v>10</v>
      </c>
      <c r="AN441" t="s">
        <v>1700</v>
      </c>
      <c r="AO441" t="s">
        <v>1701</v>
      </c>
      <c r="AP441">
        <v>1.3839999999999999</v>
      </c>
      <c r="AQ441" t="s">
        <v>69</v>
      </c>
      <c r="AR441">
        <v>35</v>
      </c>
      <c r="AS441">
        <v>12</v>
      </c>
      <c r="AT441">
        <v>3.0970000000000001E-2</v>
      </c>
      <c r="AU441">
        <v>-4.7000000000000002E-3</v>
      </c>
      <c r="AV441">
        <v>0.10874</v>
      </c>
      <c r="AW441">
        <v>-1.5630000000000002E-2</v>
      </c>
      <c r="AX441">
        <v>1.158E-2</v>
      </c>
      <c r="AY441">
        <v>-1.8799999999999999E-3</v>
      </c>
      <c r="AZ441">
        <v>0.10645</v>
      </c>
      <c r="BA441">
        <v>1</v>
      </c>
      <c r="BB441" t="s">
        <v>70</v>
      </c>
      <c r="BC441">
        <v>0.69799999999999995</v>
      </c>
      <c r="BD441">
        <v>0.55800000000000005</v>
      </c>
      <c r="BE441" t="s">
        <v>71</v>
      </c>
    </row>
    <row r="442" spans="1:57">
      <c r="A442">
        <v>1609</v>
      </c>
      <c r="B442" t="s">
        <v>1702</v>
      </c>
      <c r="D442" t="s">
        <v>60</v>
      </c>
      <c r="E442" t="s">
        <v>1703</v>
      </c>
      <c r="F442" t="s">
        <v>1704</v>
      </c>
      <c r="G442">
        <v>298</v>
      </c>
      <c r="H442" t="s">
        <v>63</v>
      </c>
      <c r="I442">
        <v>5</v>
      </c>
      <c r="J442" t="str">
        <f>HYPERLINK("Gene1609-zp_tree_all.dnd", "Gene1609-tree")</f>
        <v>Gene1609-tree</v>
      </c>
      <c r="K442">
        <v>2</v>
      </c>
      <c r="L442">
        <v>3</v>
      </c>
      <c r="M442">
        <v>2</v>
      </c>
      <c r="N442">
        <v>3</v>
      </c>
      <c r="O442">
        <v>0.6</v>
      </c>
      <c r="P442" t="s">
        <v>124</v>
      </c>
      <c r="Q442" t="s">
        <v>86</v>
      </c>
      <c r="R442" t="s">
        <v>66</v>
      </c>
      <c r="S442" t="s">
        <v>66</v>
      </c>
      <c r="T442">
        <v>0</v>
      </c>
      <c r="U442">
        <v>0</v>
      </c>
      <c r="V442">
        <v>9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5</v>
      </c>
      <c r="AG442">
        <v>0</v>
      </c>
      <c r="AH442">
        <v>5</v>
      </c>
      <c r="AI442">
        <v>2</v>
      </c>
      <c r="AJ442">
        <v>25</v>
      </c>
      <c r="AK442">
        <v>5</v>
      </c>
      <c r="AL442">
        <v>27</v>
      </c>
      <c r="AM442">
        <v>4</v>
      </c>
      <c r="AN442" t="s">
        <v>1705</v>
      </c>
      <c r="AO442" t="s">
        <v>1706</v>
      </c>
      <c r="AP442">
        <v>0.28699999999999998</v>
      </c>
      <c r="AQ442" t="s">
        <v>69</v>
      </c>
      <c r="AR442">
        <v>52</v>
      </c>
      <c r="AS442">
        <v>9</v>
      </c>
      <c r="AT442">
        <v>3.1989999999999998E-2</v>
      </c>
      <c r="AU442">
        <v>-4.9300000000000004E-3</v>
      </c>
      <c r="AV442">
        <v>0.13392000000000001</v>
      </c>
      <c r="AW442">
        <v>-2.1329999999999998E-2</v>
      </c>
      <c r="AX442">
        <v>6.3899999999999998E-3</v>
      </c>
      <c r="AY442">
        <v>-1.17E-3</v>
      </c>
      <c r="AZ442">
        <v>4.7719999999999999E-2</v>
      </c>
      <c r="BA442">
        <v>1</v>
      </c>
      <c r="BB442" t="s">
        <v>70</v>
      </c>
      <c r="BC442">
        <v>0.63</v>
      </c>
      <c r="BD442">
        <v>0.22900000000000001</v>
      </c>
      <c r="BE442" t="s">
        <v>71</v>
      </c>
    </row>
    <row r="443" spans="1:57">
      <c r="A443">
        <v>1614</v>
      </c>
      <c r="B443" t="s">
        <v>1713</v>
      </c>
      <c r="D443" t="s">
        <v>60</v>
      </c>
      <c r="E443" t="s">
        <v>1714</v>
      </c>
      <c r="F443" t="s">
        <v>74</v>
      </c>
      <c r="G443">
        <v>120</v>
      </c>
      <c r="H443" t="s">
        <v>63</v>
      </c>
      <c r="I443">
        <v>5</v>
      </c>
      <c r="J443" t="str">
        <f>HYPERLINK("Gene1614-zp_tree_all.dnd", "Gene1614-tree")</f>
        <v>Gene1614-tree</v>
      </c>
      <c r="K443">
        <v>5</v>
      </c>
      <c r="L443">
        <v>0</v>
      </c>
      <c r="M443">
        <v>4</v>
      </c>
      <c r="N443">
        <v>0</v>
      </c>
      <c r="O443">
        <v>0</v>
      </c>
      <c r="P443" t="s">
        <v>135</v>
      </c>
      <c r="Q443" t="s">
        <v>66</v>
      </c>
      <c r="R443" t="s">
        <v>66</v>
      </c>
      <c r="S443" t="s">
        <v>66</v>
      </c>
      <c r="T443">
        <v>0</v>
      </c>
      <c r="U443">
        <v>0</v>
      </c>
      <c r="V443">
        <v>2</v>
      </c>
      <c r="W443">
        <v>0</v>
      </c>
      <c r="X443">
        <v>0</v>
      </c>
      <c r="Y443">
        <v>0</v>
      </c>
      <c r="Z443">
        <v>0</v>
      </c>
      <c r="AA443">
        <v>2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3</v>
      </c>
      <c r="AI443">
        <v>1</v>
      </c>
      <c r="AJ443">
        <v>4</v>
      </c>
      <c r="AK443">
        <v>0</v>
      </c>
      <c r="AL443">
        <v>7</v>
      </c>
      <c r="AM443">
        <v>2</v>
      </c>
      <c r="AN443" t="s">
        <v>68</v>
      </c>
      <c r="AO443" t="s">
        <v>1715</v>
      </c>
      <c r="AP443">
        <v>0</v>
      </c>
      <c r="AQ443" t="s">
        <v>69</v>
      </c>
      <c r="AR443">
        <v>11</v>
      </c>
      <c r="AS443">
        <v>2</v>
      </c>
      <c r="AT443">
        <v>2.222E-2</v>
      </c>
      <c r="AU443">
        <v>-4.8999999999999998E-3</v>
      </c>
      <c r="AV443">
        <v>8.4320000000000006E-2</v>
      </c>
      <c r="AW443">
        <v>-1.7930000000000001E-2</v>
      </c>
      <c r="AX443">
        <v>4.8700000000000002E-3</v>
      </c>
      <c r="AY443">
        <v>-1.15E-3</v>
      </c>
      <c r="AZ443">
        <v>5.7750000000000003E-2</v>
      </c>
      <c r="BA443">
        <v>0.99</v>
      </c>
      <c r="BB443" t="s">
        <v>70</v>
      </c>
      <c r="BC443">
        <v>0.88500000000000001</v>
      </c>
      <c r="BD443">
        <v>0.88500000000000001</v>
      </c>
      <c r="BE443" t="s">
        <v>71</v>
      </c>
    </row>
    <row r="444" spans="1:57">
      <c r="A444">
        <v>1616</v>
      </c>
      <c r="B444" t="s">
        <v>1716</v>
      </c>
      <c r="D444" t="s">
        <v>60</v>
      </c>
      <c r="E444" t="s">
        <v>1717</v>
      </c>
      <c r="F444" t="s">
        <v>1718</v>
      </c>
      <c r="G444">
        <v>220</v>
      </c>
      <c r="H444" t="s">
        <v>63</v>
      </c>
      <c r="I444">
        <v>5</v>
      </c>
      <c r="J444" t="str">
        <f>HYPERLINK("Gene1616-zp_tree_all.dnd", "Gene1616-tree")</f>
        <v>Gene1616-tree</v>
      </c>
      <c r="K444">
        <v>3</v>
      </c>
      <c r="L444">
        <v>2</v>
      </c>
      <c r="M444">
        <v>3</v>
      </c>
      <c r="N444">
        <v>2</v>
      </c>
      <c r="O444">
        <v>0.4</v>
      </c>
      <c r="P444" t="s">
        <v>86</v>
      </c>
      <c r="Q444" t="s">
        <v>124</v>
      </c>
      <c r="R444" t="s">
        <v>66</v>
      </c>
      <c r="S444" t="s">
        <v>66</v>
      </c>
      <c r="T444">
        <v>0</v>
      </c>
      <c r="U444">
        <v>0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4</v>
      </c>
      <c r="AG444">
        <v>0</v>
      </c>
      <c r="AH444">
        <v>5</v>
      </c>
      <c r="AI444">
        <v>2</v>
      </c>
      <c r="AJ444">
        <v>27</v>
      </c>
      <c r="AK444">
        <v>2</v>
      </c>
      <c r="AL444">
        <v>17</v>
      </c>
      <c r="AM444">
        <v>2</v>
      </c>
      <c r="AN444" t="s">
        <v>1719</v>
      </c>
      <c r="AO444" t="s">
        <v>1720</v>
      </c>
      <c r="AP444">
        <v>0.27900000000000003</v>
      </c>
      <c r="AQ444" t="s">
        <v>69</v>
      </c>
      <c r="AR444">
        <v>44</v>
      </c>
      <c r="AS444">
        <v>4</v>
      </c>
      <c r="AT444">
        <v>3.3939999999999998E-2</v>
      </c>
      <c r="AU444">
        <v>-5.4099999999999999E-3</v>
      </c>
      <c r="AV444">
        <v>0.14878</v>
      </c>
      <c r="AW444">
        <v>-2.4049999999999998E-2</v>
      </c>
      <c r="AX444">
        <v>3.9699999999999996E-3</v>
      </c>
      <c r="AY444">
        <v>-8.4000000000000003E-4</v>
      </c>
      <c r="AZ444">
        <v>2.6710000000000001E-2</v>
      </c>
      <c r="BA444">
        <v>1</v>
      </c>
      <c r="BB444" t="s">
        <v>70</v>
      </c>
      <c r="BC444">
        <v>0.109</v>
      </c>
      <c r="BD444">
        <v>0.109</v>
      </c>
      <c r="BE444" t="s">
        <v>71</v>
      </c>
    </row>
    <row r="445" spans="1:57">
      <c r="A445">
        <v>1619</v>
      </c>
      <c r="B445" t="s">
        <v>1721</v>
      </c>
      <c r="D445" t="s">
        <v>60</v>
      </c>
      <c r="E445" t="s">
        <v>1722</v>
      </c>
      <c r="F445" t="s">
        <v>1723</v>
      </c>
      <c r="G445">
        <v>188</v>
      </c>
      <c r="H445" t="s">
        <v>63</v>
      </c>
      <c r="I445">
        <v>5</v>
      </c>
      <c r="J445" t="str">
        <f>HYPERLINK("Gene1619-zp_tree_all.dnd", "Gene1619-tree")</f>
        <v>Gene1619-tree</v>
      </c>
      <c r="K445">
        <v>4</v>
      </c>
      <c r="L445">
        <v>1</v>
      </c>
      <c r="M445">
        <v>4</v>
      </c>
      <c r="N445">
        <v>1</v>
      </c>
      <c r="O445">
        <v>0.2</v>
      </c>
      <c r="P445" t="s">
        <v>64</v>
      </c>
      <c r="Q445" t="s">
        <v>65</v>
      </c>
      <c r="R445" t="s">
        <v>66</v>
      </c>
      <c r="S445" t="s">
        <v>66</v>
      </c>
      <c r="T445">
        <v>0</v>
      </c>
      <c r="U445">
        <v>0</v>
      </c>
      <c r="V445">
        <v>2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  <c r="AH445">
        <v>5</v>
      </c>
      <c r="AI445">
        <v>2</v>
      </c>
      <c r="AJ445">
        <v>17</v>
      </c>
      <c r="AK445">
        <v>1</v>
      </c>
      <c r="AL445">
        <v>18</v>
      </c>
      <c r="AM445">
        <v>1</v>
      </c>
      <c r="AN445" t="s">
        <v>1724</v>
      </c>
      <c r="AO445" t="s">
        <v>1725</v>
      </c>
      <c r="AP445">
        <v>3.5999999999999997E-2</v>
      </c>
      <c r="AQ445" t="s">
        <v>69</v>
      </c>
      <c r="AR445">
        <v>35</v>
      </c>
      <c r="AS445">
        <v>2</v>
      </c>
      <c r="AT445">
        <v>2.9610000000000001E-2</v>
      </c>
      <c r="AU445">
        <v>-4.3400000000000001E-3</v>
      </c>
      <c r="AV445">
        <v>0.13852999999999999</v>
      </c>
      <c r="AW445">
        <v>-2.0979999999999999E-2</v>
      </c>
      <c r="AX445">
        <v>2.2899999999999999E-3</v>
      </c>
      <c r="AY445">
        <v>-5.5999999999999995E-4</v>
      </c>
      <c r="AZ445">
        <v>1.6539999999999999E-2</v>
      </c>
      <c r="BA445">
        <v>1</v>
      </c>
      <c r="BB445" t="s">
        <v>70</v>
      </c>
      <c r="BC445">
        <v>0.91500000000000004</v>
      </c>
      <c r="BD445">
        <v>0.161</v>
      </c>
      <c r="BE445" t="s">
        <v>71</v>
      </c>
    </row>
    <row r="446" spans="1:57">
      <c r="A446">
        <v>1620</v>
      </c>
      <c r="B446" t="s">
        <v>1726</v>
      </c>
      <c r="D446" t="s">
        <v>60</v>
      </c>
      <c r="E446" t="s">
        <v>1727</v>
      </c>
      <c r="F446" t="s">
        <v>1728</v>
      </c>
      <c r="G446">
        <v>333</v>
      </c>
      <c r="H446" t="s">
        <v>63</v>
      </c>
      <c r="I446">
        <v>5</v>
      </c>
      <c r="J446" t="str">
        <f>HYPERLINK("Gene1620-zp_tree_all.dnd", "Gene1620-tree")</f>
        <v>Gene1620-tree</v>
      </c>
      <c r="K446">
        <v>3</v>
      </c>
      <c r="L446">
        <v>2</v>
      </c>
      <c r="M446">
        <v>3</v>
      </c>
      <c r="N446">
        <v>2</v>
      </c>
      <c r="O446">
        <v>0.4</v>
      </c>
      <c r="P446" t="s">
        <v>86</v>
      </c>
      <c r="Q446" t="s">
        <v>124</v>
      </c>
      <c r="R446" t="s">
        <v>66</v>
      </c>
      <c r="S446" t="s">
        <v>66</v>
      </c>
      <c r="T446">
        <v>0</v>
      </c>
      <c r="U446">
        <v>0</v>
      </c>
      <c r="V446">
        <v>6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6</v>
      </c>
      <c r="AG446">
        <v>0</v>
      </c>
      <c r="AH446">
        <v>5</v>
      </c>
      <c r="AI446">
        <v>2</v>
      </c>
      <c r="AJ446">
        <v>21</v>
      </c>
      <c r="AK446">
        <v>3</v>
      </c>
      <c r="AL446">
        <v>28</v>
      </c>
      <c r="AM446">
        <v>4</v>
      </c>
      <c r="AN446" t="s">
        <v>1729</v>
      </c>
      <c r="AO446" t="s">
        <v>1730</v>
      </c>
      <c r="AP446">
        <v>3.6999999999999998E-2</v>
      </c>
      <c r="AQ446" t="s">
        <v>69</v>
      </c>
      <c r="AR446">
        <v>49</v>
      </c>
      <c r="AS446">
        <v>7</v>
      </c>
      <c r="AT446">
        <v>2.8129999999999999E-2</v>
      </c>
      <c r="AU446">
        <v>-4.64E-3</v>
      </c>
      <c r="AV446">
        <v>0.11343</v>
      </c>
      <c r="AW446">
        <v>-1.8769999999999998E-2</v>
      </c>
      <c r="AX446">
        <v>4.7499999999999999E-3</v>
      </c>
      <c r="AY446">
        <v>-1.0399999999999999E-3</v>
      </c>
      <c r="AZ446">
        <v>4.1860000000000001E-2</v>
      </c>
      <c r="BA446">
        <v>1</v>
      </c>
      <c r="BB446" t="s">
        <v>70</v>
      </c>
      <c r="BC446">
        <v>0.63500000000000001</v>
      </c>
      <c r="BD446">
        <v>0.49</v>
      </c>
      <c r="BE446" t="s">
        <v>71</v>
      </c>
    </row>
    <row r="447" spans="1:57">
      <c r="A447">
        <v>1624</v>
      </c>
      <c r="B447" t="s">
        <v>1734</v>
      </c>
      <c r="D447" t="s">
        <v>60</v>
      </c>
      <c r="E447" t="s">
        <v>1735</v>
      </c>
      <c r="F447" t="s">
        <v>1736</v>
      </c>
      <c r="G447">
        <v>249</v>
      </c>
      <c r="H447" t="s">
        <v>63</v>
      </c>
      <c r="I447">
        <v>5</v>
      </c>
      <c r="J447" t="str">
        <f>HYPERLINK("Gene1624-zp_tree_all.dnd", "Gene1624-tree")</f>
        <v>Gene1624-tree</v>
      </c>
      <c r="K447">
        <v>4</v>
      </c>
      <c r="L447">
        <v>1</v>
      </c>
      <c r="M447">
        <v>3</v>
      </c>
      <c r="N447">
        <v>1</v>
      </c>
      <c r="O447">
        <v>0.25</v>
      </c>
      <c r="P447" t="s">
        <v>112</v>
      </c>
      <c r="Q447" t="s">
        <v>65</v>
      </c>
      <c r="R447" t="s">
        <v>66</v>
      </c>
      <c r="S447" t="s">
        <v>66</v>
      </c>
      <c r="T447">
        <v>0</v>
      </c>
      <c r="U447">
        <v>0</v>
      </c>
      <c r="V447">
        <v>2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3</v>
      </c>
      <c r="AI447">
        <v>1</v>
      </c>
      <c r="AJ447">
        <v>14</v>
      </c>
      <c r="AK447">
        <v>1</v>
      </c>
      <c r="AL447">
        <v>16</v>
      </c>
      <c r="AM447">
        <v>1</v>
      </c>
      <c r="AN447" t="s">
        <v>1737</v>
      </c>
      <c r="AO447" t="s">
        <v>1738</v>
      </c>
      <c r="AP447">
        <v>0.121</v>
      </c>
      <c r="AQ447" t="s">
        <v>69</v>
      </c>
      <c r="AR447">
        <v>30</v>
      </c>
      <c r="AS447">
        <v>2</v>
      </c>
      <c r="AT447">
        <v>2.477E-2</v>
      </c>
      <c r="AU447">
        <v>-4.7299999999999998E-3</v>
      </c>
      <c r="AV447">
        <v>0.11638999999999999</v>
      </c>
      <c r="AW447">
        <v>-2.257E-2</v>
      </c>
      <c r="AX447">
        <v>2E-3</v>
      </c>
      <c r="AY447">
        <v>-3.5E-4</v>
      </c>
      <c r="AZ447">
        <v>1.721E-2</v>
      </c>
      <c r="BA447">
        <v>1</v>
      </c>
      <c r="BB447" t="s">
        <v>70</v>
      </c>
      <c r="BC447">
        <v>0.56299999999999994</v>
      </c>
      <c r="BD447">
        <v>0.56299999999999994</v>
      </c>
      <c r="BE447" t="s">
        <v>71</v>
      </c>
    </row>
    <row r="448" spans="1:57">
      <c r="A448">
        <v>1628</v>
      </c>
      <c r="B448" t="s">
        <v>1739</v>
      </c>
      <c r="D448" t="s">
        <v>60</v>
      </c>
      <c r="E448" t="s">
        <v>1740</v>
      </c>
      <c r="F448" t="s">
        <v>74</v>
      </c>
      <c r="G448">
        <v>110</v>
      </c>
      <c r="H448" t="s">
        <v>63</v>
      </c>
      <c r="I448">
        <v>5</v>
      </c>
      <c r="J448" t="str">
        <f>HYPERLINK("Gene1628-zp_tree_all.dnd", "Gene1628-tree")</f>
        <v>Gene1628-tree</v>
      </c>
      <c r="K448">
        <v>4</v>
      </c>
      <c r="L448">
        <v>1</v>
      </c>
      <c r="M448">
        <v>3</v>
      </c>
      <c r="N448">
        <v>1</v>
      </c>
      <c r="O448">
        <v>0.25</v>
      </c>
      <c r="P448" t="s">
        <v>112</v>
      </c>
      <c r="Q448" t="s">
        <v>65</v>
      </c>
      <c r="R448" t="s">
        <v>66</v>
      </c>
      <c r="S448" t="s">
        <v>66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3</v>
      </c>
      <c r="AI448">
        <v>1</v>
      </c>
      <c r="AJ448">
        <v>3</v>
      </c>
      <c r="AK448">
        <v>1</v>
      </c>
      <c r="AL448">
        <v>1</v>
      </c>
      <c r="AM448">
        <v>0</v>
      </c>
      <c r="AN448" t="s">
        <v>1741</v>
      </c>
      <c r="AO448" t="s">
        <v>68</v>
      </c>
      <c r="AP448">
        <v>0.86599999999999999</v>
      </c>
      <c r="AQ448" t="s">
        <v>69</v>
      </c>
      <c r="AR448">
        <v>4</v>
      </c>
      <c r="AS448">
        <v>1</v>
      </c>
      <c r="AT448">
        <v>8.0800000000000004E-3</v>
      </c>
      <c r="AU448">
        <v>-1.17E-3</v>
      </c>
      <c r="AV448">
        <v>3.1530000000000002E-2</v>
      </c>
      <c r="AW448">
        <v>-4.15E-3</v>
      </c>
      <c r="AX448">
        <v>1.9300000000000001E-3</v>
      </c>
      <c r="AY448">
        <v>-7.9000000000000001E-4</v>
      </c>
      <c r="AZ448">
        <v>6.1240000000000003E-2</v>
      </c>
      <c r="BA448">
        <v>1</v>
      </c>
      <c r="BB448" t="s">
        <v>70</v>
      </c>
      <c r="BC448">
        <v>0</v>
      </c>
      <c r="BD448">
        <v>0</v>
      </c>
      <c r="BE448" t="s">
        <v>71</v>
      </c>
    </row>
    <row r="449" spans="1:57">
      <c r="A449">
        <v>1629</v>
      </c>
      <c r="B449" t="s">
        <v>1742</v>
      </c>
      <c r="D449" t="s">
        <v>60</v>
      </c>
      <c r="E449" t="s">
        <v>1743</v>
      </c>
      <c r="F449" t="s">
        <v>1744</v>
      </c>
      <c r="G449">
        <v>446</v>
      </c>
      <c r="H449" t="s">
        <v>63</v>
      </c>
      <c r="I449">
        <v>5</v>
      </c>
      <c r="J449" t="str">
        <f>HYPERLINK("Gene1629-zp_tree_all.dnd", "Gene1629-tree")</f>
        <v>Gene1629-tree</v>
      </c>
      <c r="K449">
        <v>4</v>
      </c>
      <c r="L449">
        <v>1</v>
      </c>
      <c r="M449">
        <v>4</v>
      </c>
      <c r="N449">
        <v>1</v>
      </c>
      <c r="O449">
        <v>0.2</v>
      </c>
      <c r="P449" t="s">
        <v>64</v>
      </c>
      <c r="Q449" t="s">
        <v>65</v>
      </c>
      <c r="R449" t="s">
        <v>66</v>
      </c>
      <c r="S449" t="s">
        <v>66</v>
      </c>
      <c r="T449">
        <v>0</v>
      </c>
      <c r="U449">
        <v>0</v>
      </c>
      <c r="V449">
        <v>3</v>
      </c>
      <c r="W449">
        <v>0</v>
      </c>
      <c r="X449">
        <v>0</v>
      </c>
      <c r="Y449">
        <v>0</v>
      </c>
      <c r="Z449">
        <v>0</v>
      </c>
      <c r="AA449">
        <v>2</v>
      </c>
      <c r="AB449">
        <v>0</v>
      </c>
      <c r="AC449">
        <v>0</v>
      </c>
      <c r="AD449">
        <v>0</v>
      </c>
      <c r="AE449">
        <v>0</v>
      </c>
      <c r="AF449">
        <v>1</v>
      </c>
      <c r="AG449">
        <v>0</v>
      </c>
      <c r="AH449">
        <v>5</v>
      </c>
      <c r="AI449">
        <v>2</v>
      </c>
      <c r="AJ449">
        <v>42</v>
      </c>
      <c r="AK449">
        <v>1</v>
      </c>
      <c r="AL449">
        <v>26</v>
      </c>
      <c r="AM449">
        <v>2</v>
      </c>
      <c r="AN449" t="s">
        <v>1745</v>
      </c>
      <c r="AO449" t="s">
        <v>1746</v>
      </c>
      <c r="AP449">
        <v>0.58499999999999996</v>
      </c>
      <c r="AQ449" t="s">
        <v>69</v>
      </c>
      <c r="AR449">
        <v>68</v>
      </c>
      <c r="AS449">
        <v>3</v>
      </c>
      <c r="AT449">
        <v>2.436E-2</v>
      </c>
      <c r="AU449">
        <v>-3.5599999999999998E-3</v>
      </c>
      <c r="AV449">
        <v>0.11519</v>
      </c>
      <c r="AW449">
        <v>-1.796E-2</v>
      </c>
      <c r="AX449">
        <v>1.6299999999999999E-3</v>
      </c>
      <c r="AY449">
        <v>-3.1E-4</v>
      </c>
      <c r="AZ449">
        <v>1.4160000000000001E-2</v>
      </c>
      <c r="BA449">
        <v>1</v>
      </c>
      <c r="BB449" t="s">
        <v>70</v>
      </c>
      <c r="BC449">
        <v>0.22</v>
      </c>
      <c r="BD449">
        <v>-0.115</v>
      </c>
      <c r="BE449" t="s">
        <v>71</v>
      </c>
    </row>
    <row r="450" spans="1:57">
      <c r="A450">
        <v>1630</v>
      </c>
      <c r="B450" t="s">
        <v>1747</v>
      </c>
      <c r="D450" t="s">
        <v>60</v>
      </c>
      <c r="E450" t="s">
        <v>1748</v>
      </c>
      <c r="F450" t="s">
        <v>1749</v>
      </c>
      <c r="G450">
        <v>90</v>
      </c>
      <c r="H450" t="s">
        <v>63</v>
      </c>
      <c r="I450">
        <v>5</v>
      </c>
      <c r="J450" t="str">
        <f>HYPERLINK("Gene1630-zp_tree_all.dnd", "Gene1630-tree")</f>
        <v>Gene1630-tree</v>
      </c>
      <c r="K450">
        <v>5</v>
      </c>
      <c r="L450">
        <v>0</v>
      </c>
      <c r="M450">
        <v>4</v>
      </c>
      <c r="N450">
        <v>0</v>
      </c>
      <c r="O450">
        <v>0</v>
      </c>
      <c r="P450" t="s">
        <v>135</v>
      </c>
      <c r="Q450" t="s">
        <v>66</v>
      </c>
      <c r="R450" t="s">
        <v>66</v>
      </c>
      <c r="S450" t="s">
        <v>66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2</v>
      </c>
      <c r="AI450">
        <v>1</v>
      </c>
      <c r="AJ450">
        <v>2</v>
      </c>
      <c r="AK450">
        <v>0</v>
      </c>
      <c r="AL450">
        <v>1</v>
      </c>
      <c r="AM450">
        <v>0</v>
      </c>
      <c r="AN450" t="s">
        <v>68</v>
      </c>
      <c r="AO450" t="s">
        <v>68</v>
      </c>
      <c r="AP450">
        <v>0</v>
      </c>
      <c r="AQ450" t="s">
        <v>69</v>
      </c>
      <c r="AR450">
        <v>3</v>
      </c>
      <c r="AS450">
        <v>0</v>
      </c>
      <c r="AT450">
        <v>6.1700000000000001E-3</v>
      </c>
      <c r="AU450">
        <v>-1.1299999999999999E-3</v>
      </c>
      <c r="AV450">
        <v>2.733E-2</v>
      </c>
      <c r="AW450">
        <v>-5.0899999999999999E-3</v>
      </c>
      <c r="AX450">
        <v>0</v>
      </c>
      <c r="AY450">
        <v>0</v>
      </c>
      <c r="AZ450">
        <v>0</v>
      </c>
      <c r="BA450">
        <v>1</v>
      </c>
      <c r="BB450" t="s">
        <v>70</v>
      </c>
      <c r="BC450">
        <v>-0.17499999999999999</v>
      </c>
      <c r="BD450">
        <v>-0.17499999999999999</v>
      </c>
      <c r="BE450" t="s">
        <v>71</v>
      </c>
    </row>
    <row r="451" spans="1:57">
      <c r="A451">
        <v>1632</v>
      </c>
      <c r="B451" t="s">
        <v>1752</v>
      </c>
      <c r="D451" t="s">
        <v>60</v>
      </c>
      <c r="E451" t="s">
        <v>1753</v>
      </c>
      <c r="F451" t="s">
        <v>74</v>
      </c>
      <c r="G451">
        <v>128</v>
      </c>
      <c r="H451" t="s">
        <v>63</v>
      </c>
      <c r="I451">
        <v>5</v>
      </c>
      <c r="J451" t="str">
        <f>HYPERLINK("Gene1632-zp_tree_all.dnd", "Gene1632-tree")</f>
        <v>Gene1632-tree</v>
      </c>
      <c r="K451">
        <v>1</v>
      </c>
      <c r="L451">
        <v>4</v>
      </c>
      <c r="M451">
        <v>1</v>
      </c>
      <c r="N451">
        <v>4</v>
      </c>
      <c r="O451">
        <v>0.8</v>
      </c>
      <c r="P451" t="s">
        <v>65</v>
      </c>
      <c r="Q451" t="s">
        <v>64</v>
      </c>
      <c r="R451" t="s">
        <v>66</v>
      </c>
      <c r="S451" t="s">
        <v>66</v>
      </c>
      <c r="T451">
        <v>1</v>
      </c>
      <c r="U451">
        <v>2</v>
      </c>
      <c r="V451">
        <v>3</v>
      </c>
      <c r="W451">
        <v>0.4</v>
      </c>
      <c r="X451">
        <v>0</v>
      </c>
      <c r="Y451">
        <v>0</v>
      </c>
      <c r="Z451">
        <v>0</v>
      </c>
      <c r="AA451">
        <v>2</v>
      </c>
      <c r="AB451">
        <v>0</v>
      </c>
      <c r="AC451">
        <v>0</v>
      </c>
      <c r="AD451">
        <v>2</v>
      </c>
      <c r="AE451">
        <v>2</v>
      </c>
      <c r="AF451">
        <v>1</v>
      </c>
      <c r="AG451">
        <v>0.66666999999999998</v>
      </c>
      <c r="AH451">
        <v>4</v>
      </c>
      <c r="AI451">
        <v>1</v>
      </c>
      <c r="AJ451">
        <v>8</v>
      </c>
      <c r="AK451">
        <v>3</v>
      </c>
      <c r="AL451">
        <v>5</v>
      </c>
      <c r="AM451">
        <v>2</v>
      </c>
      <c r="AN451" t="s">
        <v>1754</v>
      </c>
      <c r="AO451" t="s">
        <v>1755</v>
      </c>
      <c r="AP451">
        <v>0.128</v>
      </c>
      <c r="AQ451" t="s">
        <v>69</v>
      </c>
      <c r="AR451">
        <v>13</v>
      </c>
      <c r="AS451">
        <v>5</v>
      </c>
      <c r="AT451">
        <v>2.24E-2</v>
      </c>
      <c r="AU451">
        <v>-3.5400000000000002E-3</v>
      </c>
      <c r="AV451">
        <v>9.0120000000000006E-2</v>
      </c>
      <c r="AW451">
        <v>-1.553E-2</v>
      </c>
      <c r="AX451">
        <v>7.7999999999999996E-3</v>
      </c>
      <c r="AY451">
        <v>-1.15E-3</v>
      </c>
      <c r="AZ451">
        <v>8.6529999999999996E-2</v>
      </c>
      <c r="BA451">
        <v>1</v>
      </c>
      <c r="BB451" t="s">
        <v>70</v>
      </c>
      <c r="BC451">
        <v>-3.4000000000000002E-2</v>
      </c>
      <c r="BD451">
        <v>-3.4000000000000002E-2</v>
      </c>
      <c r="BE451" t="s">
        <v>71</v>
      </c>
    </row>
    <row r="452" spans="1:57">
      <c r="A452">
        <v>1640</v>
      </c>
      <c r="B452" t="s">
        <v>1759</v>
      </c>
      <c r="D452" t="s">
        <v>60</v>
      </c>
      <c r="E452" t="s">
        <v>1760</v>
      </c>
      <c r="F452" t="s">
        <v>1761</v>
      </c>
      <c r="G452">
        <v>385</v>
      </c>
      <c r="H452" t="s">
        <v>63</v>
      </c>
      <c r="I452">
        <v>5</v>
      </c>
      <c r="J452" t="str">
        <f>HYPERLINK("Gene1640-zp_tree_all.dnd", "Gene1640-tree")</f>
        <v>Gene1640-tree</v>
      </c>
      <c r="K452">
        <v>2</v>
      </c>
      <c r="L452">
        <v>3</v>
      </c>
      <c r="M452">
        <v>2</v>
      </c>
      <c r="N452">
        <v>3</v>
      </c>
      <c r="O452">
        <v>0.6</v>
      </c>
      <c r="P452" t="s">
        <v>124</v>
      </c>
      <c r="Q452" t="s">
        <v>86</v>
      </c>
      <c r="R452" t="s">
        <v>66</v>
      </c>
      <c r="S452" t="s">
        <v>66</v>
      </c>
      <c r="T452">
        <v>0</v>
      </c>
      <c r="U452">
        <v>0</v>
      </c>
      <c r="V452">
        <v>6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6</v>
      </c>
      <c r="AG452">
        <v>0</v>
      </c>
      <c r="AH452">
        <v>5</v>
      </c>
      <c r="AI452">
        <v>2</v>
      </c>
      <c r="AJ452">
        <v>22</v>
      </c>
      <c r="AK452">
        <v>3</v>
      </c>
      <c r="AL452">
        <v>33</v>
      </c>
      <c r="AM452">
        <v>4</v>
      </c>
      <c r="AN452" t="s">
        <v>1762</v>
      </c>
      <c r="AO452" t="s">
        <v>1763</v>
      </c>
      <c r="AP452">
        <v>0.13700000000000001</v>
      </c>
      <c r="AQ452" t="s">
        <v>69</v>
      </c>
      <c r="AR452">
        <v>55</v>
      </c>
      <c r="AS452">
        <v>7</v>
      </c>
      <c r="AT452">
        <v>2.7709999999999999E-2</v>
      </c>
      <c r="AU452">
        <v>-4.9300000000000004E-3</v>
      </c>
      <c r="AV452">
        <v>0.1154</v>
      </c>
      <c r="AW452">
        <v>-2.1069999999999998E-2</v>
      </c>
      <c r="AX452">
        <v>4.4200000000000003E-3</v>
      </c>
      <c r="AY452">
        <v>-8.8999999999999995E-4</v>
      </c>
      <c r="AZ452">
        <v>3.8309999999999997E-2</v>
      </c>
      <c r="BA452">
        <v>1</v>
      </c>
      <c r="BB452" t="s">
        <v>70</v>
      </c>
      <c r="BC452">
        <v>0.70299999999999996</v>
      </c>
      <c r="BD452">
        <v>0.59899999999999998</v>
      </c>
      <c r="BE452" t="s">
        <v>71</v>
      </c>
    </row>
    <row r="453" spans="1:57">
      <c r="A453">
        <v>1641</v>
      </c>
      <c r="B453" t="s">
        <v>1764</v>
      </c>
      <c r="D453" t="s">
        <v>60</v>
      </c>
      <c r="E453" t="s">
        <v>1765</v>
      </c>
      <c r="F453" t="s">
        <v>1766</v>
      </c>
      <c r="G453">
        <v>300</v>
      </c>
      <c r="H453" t="s">
        <v>63</v>
      </c>
      <c r="I453">
        <v>5</v>
      </c>
      <c r="J453" t="str">
        <f>HYPERLINK("Gene1641-zp_tree_all.dnd", "Gene1641-tree")</f>
        <v>Gene1641-tree</v>
      </c>
      <c r="K453">
        <v>4</v>
      </c>
      <c r="L453">
        <v>1</v>
      </c>
      <c r="M453">
        <v>4</v>
      </c>
      <c r="N453">
        <v>1</v>
      </c>
      <c r="O453">
        <v>0.2</v>
      </c>
      <c r="P453" t="s">
        <v>64</v>
      </c>
      <c r="Q453" t="s">
        <v>65</v>
      </c>
      <c r="R453" t="s">
        <v>66</v>
      </c>
      <c r="S453" t="s">
        <v>66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0</v>
      </c>
      <c r="AH453">
        <v>4</v>
      </c>
      <c r="AI453">
        <v>2</v>
      </c>
      <c r="AJ453">
        <v>18</v>
      </c>
      <c r="AK453">
        <v>1</v>
      </c>
      <c r="AL453">
        <v>24</v>
      </c>
      <c r="AM453">
        <v>0</v>
      </c>
      <c r="AN453" t="s">
        <v>1767</v>
      </c>
      <c r="AO453" t="s">
        <v>68</v>
      </c>
      <c r="AP453">
        <v>0.63200000000000001</v>
      </c>
      <c r="AQ453" t="s">
        <v>69</v>
      </c>
      <c r="AR453">
        <v>42</v>
      </c>
      <c r="AS453">
        <v>1</v>
      </c>
      <c r="AT453">
        <v>2.3890000000000002E-2</v>
      </c>
      <c r="AU453">
        <v>-4.28E-3</v>
      </c>
      <c r="AV453">
        <v>0.10759000000000001</v>
      </c>
      <c r="AW453">
        <v>-1.9990000000000001E-2</v>
      </c>
      <c r="AX453">
        <v>5.8E-4</v>
      </c>
      <c r="AY453">
        <v>-2.3000000000000001E-4</v>
      </c>
      <c r="AZ453">
        <v>5.4400000000000004E-3</v>
      </c>
      <c r="BA453">
        <v>1</v>
      </c>
      <c r="BB453" t="s">
        <v>70</v>
      </c>
      <c r="BC453">
        <v>0.69599999999999995</v>
      </c>
      <c r="BD453">
        <v>0.505</v>
      </c>
      <c r="BE453" t="s">
        <v>71</v>
      </c>
    </row>
    <row r="454" spans="1:57">
      <c r="A454">
        <v>1645</v>
      </c>
      <c r="B454" t="s">
        <v>1768</v>
      </c>
      <c r="D454" t="s">
        <v>60</v>
      </c>
      <c r="E454" t="s">
        <v>1769</v>
      </c>
      <c r="F454" t="s">
        <v>1770</v>
      </c>
      <c r="G454">
        <v>304</v>
      </c>
      <c r="H454" t="s">
        <v>63</v>
      </c>
      <c r="I454">
        <v>5</v>
      </c>
      <c r="J454" t="str">
        <f>HYPERLINK("Gene1645-zp_tree_all.dnd", "Gene1645-tree")</f>
        <v>Gene1645-tree</v>
      </c>
      <c r="K454">
        <v>4</v>
      </c>
      <c r="L454">
        <v>1</v>
      </c>
      <c r="M454">
        <v>4</v>
      </c>
      <c r="N454">
        <v>1</v>
      </c>
      <c r="O454">
        <v>0.2</v>
      </c>
      <c r="P454" t="s">
        <v>64</v>
      </c>
      <c r="Q454" t="s">
        <v>65</v>
      </c>
      <c r="R454" t="s">
        <v>66</v>
      </c>
      <c r="S454" t="s">
        <v>66</v>
      </c>
      <c r="T454">
        <v>0</v>
      </c>
      <c r="U454">
        <v>0</v>
      </c>
      <c r="V454">
        <v>6</v>
      </c>
      <c r="W454">
        <v>0</v>
      </c>
      <c r="X454">
        <v>0</v>
      </c>
      <c r="Y454">
        <v>0</v>
      </c>
      <c r="Z454">
        <v>0</v>
      </c>
      <c r="AA454">
        <v>5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5</v>
      </c>
      <c r="AI454">
        <v>2</v>
      </c>
      <c r="AJ454">
        <v>15</v>
      </c>
      <c r="AK454">
        <v>1</v>
      </c>
      <c r="AL454">
        <v>18</v>
      </c>
      <c r="AM454">
        <v>5</v>
      </c>
      <c r="AN454" t="s">
        <v>1771</v>
      </c>
      <c r="AO454" t="s">
        <v>1772</v>
      </c>
      <c r="AP454">
        <v>0.78400000000000003</v>
      </c>
      <c r="AQ454" t="s">
        <v>69</v>
      </c>
      <c r="AR454">
        <v>33</v>
      </c>
      <c r="AS454">
        <v>6</v>
      </c>
      <c r="AT454">
        <v>2.1600000000000001E-2</v>
      </c>
      <c r="AU454">
        <v>-4.0499999999999998E-3</v>
      </c>
      <c r="AV454">
        <v>8.6540000000000006E-2</v>
      </c>
      <c r="AW454">
        <v>-1.6230000000000001E-2</v>
      </c>
      <c r="AX454">
        <v>5.0899999999999999E-3</v>
      </c>
      <c r="AY454">
        <v>-1.06E-3</v>
      </c>
      <c r="AZ454">
        <v>5.8779999999999999E-2</v>
      </c>
      <c r="BA454">
        <v>1</v>
      </c>
      <c r="BB454" t="s">
        <v>70</v>
      </c>
      <c r="BC454">
        <v>0.82</v>
      </c>
      <c r="BD454">
        <v>0.60899999999999999</v>
      </c>
      <c r="BE454" t="s">
        <v>71</v>
      </c>
    </row>
    <row r="455" spans="1:57">
      <c r="A455">
        <v>1646</v>
      </c>
      <c r="B455" t="s">
        <v>1773</v>
      </c>
      <c r="D455" t="s">
        <v>60</v>
      </c>
      <c r="E455" t="s">
        <v>1774</v>
      </c>
      <c r="F455" t="s">
        <v>1775</v>
      </c>
      <c r="G455">
        <v>181</v>
      </c>
      <c r="H455" t="s">
        <v>63</v>
      </c>
      <c r="I455">
        <v>5</v>
      </c>
      <c r="J455" t="str">
        <f>HYPERLINK("Gene1646-zp_tree_all.dnd", "Gene1646-tree")</f>
        <v>Gene1646-tree</v>
      </c>
      <c r="K455">
        <v>4</v>
      </c>
      <c r="L455">
        <v>1</v>
      </c>
      <c r="M455">
        <v>4</v>
      </c>
      <c r="N455">
        <v>1</v>
      </c>
      <c r="O455">
        <v>0.2</v>
      </c>
      <c r="P455" t="s">
        <v>64</v>
      </c>
      <c r="Q455" t="s">
        <v>65</v>
      </c>
      <c r="R455" t="s">
        <v>66</v>
      </c>
      <c r="S455" t="s">
        <v>66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3</v>
      </c>
      <c r="AI455">
        <v>2</v>
      </c>
      <c r="AJ455">
        <v>9</v>
      </c>
      <c r="AK455">
        <v>1</v>
      </c>
      <c r="AL455">
        <v>20</v>
      </c>
      <c r="AM455">
        <v>0</v>
      </c>
      <c r="AN455" t="s">
        <v>1776</v>
      </c>
      <c r="AO455" t="s">
        <v>68</v>
      </c>
      <c r="AP455">
        <v>0.83399999999999996</v>
      </c>
      <c r="AQ455" t="s">
        <v>69</v>
      </c>
      <c r="AR455">
        <v>29</v>
      </c>
      <c r="AS455">
        <v>1</v>
      </c>
      <c r="AT455">
        <v>2.836E-2</v>
      </c>
      <c r="AU455">
        <v>-5.4000000000000003E-3</v>
      </c>
      <c r="AV455">
        <v>0.13363</v>
      </c>
      <c r="AW455">
        <v>-2.6499999999999999E-2</v>
      </c>
      <c r="AX455">
        <v>9.6000000000000002E-4</v>
      </c>
      <c r="AY455">
        <v>-3.6999999999999999E-4</v>
      </c>
      <c r="AZ455">
        <v>7.1999999999999998E-3</v>
      </c>
      <c r="BA455">
        <v>1</v>
      </c>
      <c r="BB455" t="s">
        <v>70</v>
      </c>
      <c r="BC455">
        <v>1.089</v>
      </c>
      <c r="BD455">
        <v>0.86599999999999999</v>
      </c>
      <c r="BE455" t="s">
        <v>71</v>
      </c>
    </row>
    <row r="456" spans="1:57">
      <c r="A456">
        <v>1647</v>
      </c>
      <c r="B456" t="s">
        <v>1777</v>
      </c>
      <c r="D456" t="s">
        <v>60</v>
      </c>
      <c r="E456" t="s">
        <v>1778</v>
      </c>
      <c r="F456" t="s">
        <v>1779</v>
      </c>
      <c r="G456">
        <v>467</v>
      </c>
      <c r="H456" t="s">
        <v>85</v>
      </c>
      <c r="I456">
        <v>4</v>
      </c>
      <c r="J456" t="str">
        <f>HYPERLINK("Gene1647-zp_tree_all.dnd", "Gene1647-tree")</f>
        <v>Gene1647-tree</v>
      </c>
      <c r="K456">
        <v>2</v>
      </c>
      <c r="L456">
        <v>2</v>
      </c>
      <c r="M456">
        <v>2</v>
      </c>
      <c r="N456">
        <v>2</v>
      </c>
      <c r="O456">
        <v>0.5</v>
      </c>
      <c r="P456" t="s">
        <v>124</v>
      </c>
      <c r="Q456" t="s">
        <v>124</v>
      </c>
      <c r="R456" t="s">
        <v>66</v>
      </c>
      <c r="S456" t="s">
        <v>66</v>
      </c>
      <c r="T456">
        <v>0</v>
      </c>
      <c r="U456">
        <v>0</v>
      </c>
      <c r="V456">
        <v>4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4</v>
      </c>
      <c r="AG456">
        <v>0</v>
      </c>
      <c r="AH456">
        <v>4</v>
      </c>
      <c r="AI456">
        <v>1</v>
      </c>
      <c r="AJ456">
        <v>59</v>
      </c>
      <c r="AK456">
        <v>4</v>
      </c>
      <c r="AL456">
        <v>3</v>
      </c>
      <c r="AM456">
        <v>0</v>
      </c>
      <c r="AN456" t="s">
        <v>1780</v>
      </c>
      <c r="AO456" t="s">
        <v>68</v>
      </c>
      <c r="AP456">
        <v>0.64500000000000002</v>
      </c>
      <c r="AQ456" t="s">
        <v>69</v>
      </c>
      <c r="AR456">
        <v>62</v>
      </c>
      <c r="AS456">
        <v>4</v>
      </c>
      <c r="AT456">
        <v>2.3439999999999999E-2</v>
      </c>
      <c r="AU456">
        <v>-6.5100000000000002E-3</v>
      </c>
      <c r="AV456">
        <v>0.11151999999999999</v>
      </c>
      <c r="AW456">
        <v>-3.2149999999999998E-2</v>
      </c>
      <c r="AX456">
        <v>1.83E-3</v>
      </c>
      <c r="AY456">
        <v>-5.2999999999999998E-4</v>
      </c>
      <c r="AZ456">
        <v>1.644E-2</v>
      </c>
      <c r="BA456">
        <v>1</v>
      </c>
      <c r="BB456" t="s">
        <v>70</v>
      </c>
      <c r="BC456">
        <v>-0.62</v>
      </c>
      <c r="BD456">
        <v>-0.77</v>
      </c>
      <c r="BE456" t="s">
        <v>71</v>
      </c>
    </row>
    <row r="457" spans="1:57">
      <c r="A457">
        <v>1648</v>
      </c>
      <c r="B457" t="s">
        <v>1781</v>
      </c>
      <c r="D457" t="s">
        <v>60</v>
      </c>
      <c r="E457" t="s">
        <v>1782</v>
      </c>
      <c r="F457" t="s">
        <v>1783</v>
      </c>
      <c r="G457">
        <v>259</v>
      </c>
      <c r="H457" t="s">
        <v>63</v>
      </c>
      <c r="I457">
        <v>5</v>
      </c>
      <c r="J457" t="str">
        <f>HYPERLINK("Gene1648-zp_tree_all.dnd", "Gene1648-tree")</f>
        <v>Gene1648-tree</v>
      </c>
      <c r="K457">
        <v>5</v>
      </c>
      <c r="L457">
        <v>0</v>
      </c>
      <c r="M457">
        <v>5</v>
      </c>
      <c r="N457">
        <v>0</v>
      </c>
      <c r="O457">
        <v>0</v>
      </c>
      <c r="P457" t="s">
        <v>96</v>
      </c>
      <c r="Q457" t="s">
        <v>66</v>
      </c>
      <c r="R457" t="s">
        <v>66</v>
      </c>
      <c r="S457" t="s">
        <v>66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4</v>
      </c>
      <c r="AI457">
        <v>2</v>
      </c>
      <c r="AJ457">
        <v>15</v>
      </c>
      <c r="AK457">
        <v>0</v>
      </c>
      <c r="AL457">
        <v>33</v>
      </c>
      <c r="AM457">
        <v>0</v>
      </c>
      <c r="AN457" t="s">
        <v>68</v>
      </c>
      <c r="AO457" t="s">
        <v>68</v>
      </c>
      <c r="AP457">
        <v>0</v>
      </c>
      <c r="AQ457" t="s">
        <v>69</v>
      </c>
      <c r="AR457">
        <v>48</v>
      </c>
      <c r="AS457">
        <v>0</v>
      </c>
      <c r="AT457">
        <v>3.2300000000000002E-2</v>
      </c>
      <c r="AU457">
        <v>-6.1700000000000001E-3</v>
      </c>
      <c r="AV457">
        <v>0.16600000000000001</v>
      </c>
      <c r="AW457">
        <v>-3.2910000000000002E-2</v>
      </c>
      <c r="AX457">
        <v>0</v>
      </c>
      <c r="AY457">
        <v>0</v>
      </c>
      <c r="AZ457">
        <v>0</v>
      </c>
      <c r="BA457">
        <v>1</v>
      </c>
      <c r="BB457" t="s">
        <v>70</v>
      </c>
      <c r="BC457">
        <v>1.0309999999999999</v>
      </c>
      <c r="BD457">
        <v>0.86</v>
      </c>
      <c r="BE457" t="s">
        <v>71</v>
      </c>
    </row>
    <row r="458" spans="1:57">
      <c r="A458">
        <v>1649</v>
      </c>
      <c r="B458" t="s">
        <v>1784</v>
      </c>
      <c r="D458" t="s">
        <v>60</v>
      </c>
      <c r="E458" t="s">
        <v>1785</v>
      </c>
      <c r="F458" t="s">
        <v>1786</v>
      </c>
      <c r="G458">
        <v>129</v>
      </c>
      <c r="H458" t="s">
        <v>63</v>
      </c>
      <c r="I458">
        <v>5</v>
      </c>
      <c r="J458" t="str">
        <f>HYPERLINK("Gene1649-zp_tree_all.dnd", "Gene1649-tree")</f>
        <v>Gene1649-tree</v>
      </c>
      <c r="K458">
        <v>1</v>
      </c>
      <c r="L458">
        <v>4</v>
      </c>
      <c r="M458">
        <v>1</v>
      </c>
      <c r="N458">
        <v>3</v>
      </c>
      <c r="O458">
        <v>0.75</v>
      </c>
      <c r="P458" t="s">
        <v>65</v>
      </c>
      <c r="Q458" t="s">
        <v>112</v>
      </c>
      <c r="R458">
        <v>5</v>
      </c>
      <c r="S458" t="s">
        <v>239</v>
      </c>
      <c r="T458">
        <v>0</v>
      </c>
      <c r="U458">
        <v>0</v>
      </c>
      <c r="V458">
        <v>6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6</v>
      </c>
      <c r="AG458">
        <v>0</v>
      </c>
      <c r="AH458">
        <v>3</v>
      </c>
      <c r="AI458">
        <v>1</v>
      </c>
      <c r="AJ458">
        <v>7</v>
      </c>
      <c r="AK458">
        <v>2</v>
      </c>
      <c r="AL458">
        <v>5</v>
      </c>
      <c r="AM458">
        <v>4</v>
      </c>
      <c r="AN458" t="s">
        <v>1787</v>
      </c>
      <c r="AO458" t="s">
        <v>1788</v>
      </c>
      <c r="AP458">
        <v>2.6389999999999998</v>
      </c>
      <c r="AQ458" t="s">
        <v>69</v>
      </c>
      <c r="AR458">
        <v>12</v>
      </c>
      <c r="AS458">
        <v>6</v>
      </c>
      <c r="AT458">
        <v>2.7130000000000001E-2</v>
      </c>
      <c r="AU458">
        <v>-4.9800000000000001E-3</v>
      </c>
      <c r="AV458">
        <v>8.8279999999999997E-2</v>
      </c>
      <c r="AW458">
        <v>-1.7649999999999999E-2</v>
      </c>
      <c r="AX458">
        <v>1.2200000000000001E-2</v>
      </c>
      <c r="AY458">
        <v>-2.6900000000000001E-3</v>
      </c>
      <c r="AZ458">
        <v>0.13814000000000001</v>
      </c>
      <c r="BA458">
        <v>1</v>
      </c>
      <c r="BB458" t="s">
        <v>70</v>
      </c>
      <c r="BC458">
        <v>0.307</v>
      </c>
      <c r="BD458">
        <v>0.307</v>
      </c>
      <c r="BE458" t="s">
        <v>71</v>
      </c>
    </row>
    <row r="459" spans="1:57">
      <c r="A459">
        <v>1650</v>
      </c>
      <c r="B459" t="s">
        <v>1789</v>
      </c>
      <c r="D459" t="s">
        <v>60</v>
      </c>
      <c r="E459" t="s">
        <v>1790</v>
      </c>
      <c r="F459" t="s">
        <v>1791</v>
      </c>
      <c r="G459">
        <v>150</v>
      </c>
      <c r="H459" t="s">
        <v>63</v>
      </c>
      <c r="I459">
        <v>5</v>
      </c>
      <c r="J459" t="str">
        <f>HYPERLINK("Gene1650-zp_tree_all.dnd", "Gene1650-tree")</f>
        <v>Gene1650-tree</v>
      </c>
      <c r="K459">
        <v>3</v>
      </c>
      <c r="L459">
        <v>2</v>
      </c>
      <c r="M459">
        <v>3</v>
      </c>
      <c r="N459">
        <v>2</v>
      </c>
      <c r="O459">
        <v>0.4</v>
      </c>
      <c r="P459" t="s">
        <v>86</v>
      </c>
      <c r="Q459" t="s">
        <v>124</v>
      </c>
      <c r="R459" t="s">
        <v>66</v>
      </c>
      <c r="S459" t="s">
        <v>66</v>
      </c>
      <c r="T459">
        <v>0</v>
      </c>
      <c r="U459">
        <v>0</v>
      </c>
      <c r="V459">
        <v>3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2</v>
      </c>
      <c r="AG459">
        <v>0</v>
      </c>
      <c r="AH459">
        <v>4</v>
      </c>
      <c r="AI459">
        <v>2</v>
      </c>
      <c r="AJ459">
        <v>8</v>
      </c>
      <c r="AK459">
        <v>2</v>
      </c>
      <c r="AL459">
        <v>16</v>
      </c>
      <c r="AM459">
        <v>1</v>
      </c>
      <c r="AN459" t="s">
        <v>1792</v>
      </c>
      <c r="AO459" t="s">
        <v>1793</v>
      </c>
      <c r="AP459">
        <v>1.115</v>
      </c>
      <c r="AQ459" t="s">
        <v>69</v>
      </c>
      <c r="AR459">
        <v>24</v>
      </c>
      <c r="AS459">
        <v>3</v>
      </c>
      <c r="AT459">
        <v>3.1559999999999998E-2</v>
      </c>
      <c r="AU459">
        <v>-5.8199999999999997E-3</v>
      </c>
      <c r="AV459">
        <v>0.14509</v>
      </c>
      <c r="AW459">
        <v>-2.87E-2</v>
      </c>
      <c r="AX459">
        <v>4.0200000000000001E-3</v>
      </c>
      <c r="AY459">
        <v>-7.2999999999999996E-4</v>
      </c>
      <c r="AZ459">
        <v>2.7709999999999999E-2</v>
      </c>
      <c r="BA459">
        <v>1</v>
      </c>
      <c r="BB459" t="s">
        <v>70</v>
      </c>
      <c r="BC459">
        <v>0.71399999999999997</v>
      </c>
      <c r="BD459">
        <v>0.71399999999999997</v>
      </c>
      <c r="BE459" t="s">
        <v>71</v>
      </c>
    </row>
    <row r="460" spans="1:57">
      <c r="A460">
        <v>1653</v>
      </c>
      <c r="B460" t="s">
        <v>1797</v>
      </c>
      <c r="D460" t="s">
        <v>60</v>
      </c>
      <c r="E460" t="s">
        <v>1798</v>
      </c>
      <c r="F460" t="s">
        <v>1799</v>
      </c>
      <c r="G460">
        <v>338</v>
      </c>
      <c r="H460" t="s">
        <v>63</v>
      </c>
      <c r="I460">
        <v>5</v>
      </c>
      <c r="J460" t="str">
        <f>HYPERLINK("Gene1653-zp_tree_all.dnd", "Gene1653-tree")</f>
        <v>Gene1653-tree</v>
      </c>
      <c r="K460">
        <v>5</v>
      </c>
      <c r="L460">
        <v>0</v>
      </c>
      <c r="M460">
        <v>5</v>
      </c>
      <c r="N460">
        <v>0</v>
      </c>
      <c r="O460">
        <v>0</v>
      </c>
      <c r="P460" t="s">
        <v>96</v>
      </c>
      <c r="Q460" t="s">
        <v>66</v>
      </c>
      <c r="R460" t="s">
        <v>66</v>
      </c>
      <c r="S460" t="s">
        <v>66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4</v>
      </c>
      <c r="AI460">
        <v>2</v>
      </c>
      <c r="AJ460">
        <v>24</v>
      </c>
      <c r="AK460">
        <v>0</v>
      </c>
      <c r="AL460">
        <v>36</v>
      </c>
      <c r="AM460">
        <v>1</v>
      </c>
      <c r="AN460" t="s">
        <v>68</v>
      </c>
      <c r="AO460" t="s">
        <v>1800</v>
      </c>
      <c r="AP460">
        <v>1.0089999999999999</v>
      </c>
      <c r="AQ460" t="s">
        <v>69</v>
      </c>
      <c r="AR460">
        <v>60</v>
      </c>
      <c r="AS460">
        <v>1</v>
      </c>
      <c r="AT460">
        <v>2.9090000000000001E-2</v>
      </c>
      <c r="AU460">
        <v>-4.6899999999999997E-3</v>
      </c>
      <c r="AV460">
        <v>0.14695</v>
      </c>
      <c r="AW460">
        <v>-2.4469999999999999E-2</v>
      </c>
      <c r="AX460">
        <v>7.6000000000000004E-4</v>
      </c>
      <c r="AY460">
        <v>-1.8000000000000001E-4</v>
      </c>
      <c r="AZ460">
        <v>5.1599999999999997E-3</v>
      </c>
      <c r="BA460">
        <v>1</v>
      </c>
      <c r="BB460" t="s">
        <v>70</v>
      </c>
      <c r="BC460">
        <v>1.0429999999999999</v>
      </c>
      <c r="BD460">
        <v>0.49</v>
      </c>
      <c r="BE460" t="s">
        <v>71</v>
      </c>
    </row>
    <row r="461" spans="1:57">
      <c r="A461">
        <v>1656</v>
      </c>
      <c r="B461" t="s">
        <v>1801</v>
      </c>
      <c r="D461" t="s">
        <v>60</v>
      </c>
      <c r="E461" t="s">
        <v>1802</v>
      </c>
      <c r="F461" t="s">
        <v>1803</v>
      </c>
      <c r="G461">
        <v>147</v>
      </c>
      <c r="H461" t="s">
        <v>63</v>
      </c>
      <c r="I461">
        <v>5</v>
      </c>
      <c r="J461" t="str">
        <f>HYPERLINK("Gene1656-zp_tree_all.dnd", "Gene1656-tree")</f>
        <v>Gene1656-tree</v>
      </c>
      <c r="K461">
        <v>5</v>
      </c>
      <c r="L461">
        <v>0</v>
      </c>
      <c r="M461">
        <v>5</v>
      </c>
      <c r="N461">
        <v>0</v>
      </c>
      <c r="O461">
        <v>0</v>
      </c>
      <c r="P461" t="s">
        <v>96</v>
      </c>
      <c r="Q461" t="s">
        <v>66</v>
      </c>
      <c r="R461" t="s">
        <v>66</v>
      </c>
      <c r="S461" t="s">
        <v>66</v>
      </c>
      <c r="T461">
        <v>0</v>
      </c>
      <c r="U461">
        <v>0</v>
      </c>
      <c r="V461">
        <v>3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3</v>
      </c>
      <c r="AI461">
        <v>2</v>
      </c>
      <c r="AJ461">
        <v>8</v>
      </c>
      <c r="AK461">
        <v>0</v>
      </c>
      <c r="AL461">
        <v>16</v>
      </c>
      <c r="AM461">
        <v>3</v>
      </c>
      <c r="AN461" t="s">
        <v>68</v>
      </c>
      <c r="AO461" t="s">
        <v>1804</v>
      </c>
      <c r="AP461">
        <v>0.88300000000000001</v>
      </c>
      <c r="AQ461" t="s">
        <v>69</v>
      </c>
      <c r="AR461">
        <v>24</v>
      </c>
      <c r="AS461">
        <v>3</v>
      </c>
      <c r="AT461">
        <v>3.107E-2</v>
      </c>
      <c r="AU461">
        <v>-6.2300000000000003E-3</v>
      </c>
      <c r="AV461">
        <v>0.18554000000000001</v>
      </c>
      <c r="AW461">
        <v>-3.7170000000000002E-2</v>
      </c>
      <c r="AX461">
        <v>4.96E-3</v>
      </c>
      <c r="AY461">
        <v>-1.1800000000000001E-3</v>
      </c>
      <c r="AZ461">
        <v>2.6710000000000001E-2</v>
      </c>
      <c r="BA461">
        <v>1</v>
      </c>
      <c r="BB461" t="s">
        <v>70</v>
      </c>
      <c r="BC461">
        <v>1.407</v>
      </c>
      <c r="BD461">
        <v>0.82599999999999996</v>
      </c>
      <c r="BE461" t="s">
        <v>71</v>
      </c>
    </row>
    <row r="462" spans="1:57">
      <c r="A462">
        <v>1657</v>
      </c>
      <c r="B462" t="s">
        <v>1805</v>
      </c>
      <c r="D462" t="s">
        <v>60</v>
      </c>
      <c r="E462" t="s">
        <v>1806</v>
      </c>
      <c r="F462" t="s">
        <v>1807</v>
      </c>
      <c r="G462">
        <v>204</v>
      </c>
      <c r="H462" t="s">
        <v>63</v>
      </c>
      <c r="I462">
        <v>5</v>
      </c>
      <c r="J462" t="str">
        <f>HYPERLINK("Gene1657-zp_tree_all.dnd", "Gene1657-tree")</f>
        <v>Gene1657-tree</v>
      </c>
      <c r="K462">
        <v>3</v>
      </c>
      <c r="L462">
        <v>2</v>
      </c>
      <c r="M462">
        <v>3</v>
      </c>
      <c r="N462">
        <v>2</v>
      </c>
      <c r="O462">
        <v>0.4</v>
      </c>
      <c r="P462" t="s">
        <v>86</v>
      </c>
      <c r="Q462" t="s">
        <v>124</v>
      </c>
      <c r="R462" t="s">
        <v>66</v>
      </c>
      <c r="S462" t="s">
        <v>66</v>
      </c>
      <c r="T462">
        <v>0</v>
      </c>
      <c r="U462">
        <v>0</v>
      </c>
      <c r="V462">
        <v>13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13</v>
      </c>
      <c r="AG462">
        <v>0</v>
      </c>
      <c r="AH462">
        <v>3</v>
      </c>
      <c r="AI462">
        <v>2</v>
      </c>
      <c r="AJ462">
        <v>7</v>
      </c>
      <c r="AK462">
        <v>2</v>
      </c>
      <c r="AL462">
        <v>14</v>
      </c>
      <c r="AM462">
        <v>13</v>
      </c>
      <c r="AN462" t="s">
        <v>1808</v>
      </c>
      <c r="AO462" t="s">
        <v>1809</v>
      </c>
      <c r="AP462">
        <v>0.54800000000000004</v>
      </c>
      <c r="AQ462" t="s">
        <v>69</v>
      </c>
      <c r="AR462">
        <v>21</v>
      </c>
      <c r="AS462">
        <v>15</v>
      </c>
      <c r="AT462">
        <v>3.2349999999999997E-2</v>
      </c>
      <c r="AU462">
        <v>-7.1700000000000002E-3</v>
      </c>
      <c r="AV462">
        <v>9.2429999999999998E-2</v>
      </c>
      <c r="AW462">
        <v>-1.9369999999999998E-2</v>
      </c>
      <c r="AX462">
        <v>1.8270000000000002E-2</v>
      </c>
      <c r="AY462">
        <v>-4.4600000000000004E-3</v>
      </c>
      <c r="AZ462">
        <v>0.19772999999999999</v>
      </c>
      <c r="BA462">
        <v>1</v>
      </c>
      <c r="BB462" t="s">
        <v>70</v>
      </c>
      <c r="BC462">
        <v>1.095</v>
      </c>
      <c r="BD462">
        <v>1.095</v>
      </c>
      <c r="BE462" t="s">
        <v>71</v>
      </c>
    </row>
    <row r="463" spans="1:57">
      <c r="A463">
        <v>1663</v>
      </c>
      <c r="B463" t="s">
        <v>1812</v>
      </c>
      <c r="D463" t="s">
        <v>60</v>
      </c>
      <c r="E463" t="s">
        <v>1813</v>
      </c>
      <c r="F463" t="s">
        <v>1814</v>
      </c>
      <c r="G463">
        <v>332</v>
      </c>
      <c r="H463" t="s">
        <v>63</v>
      </c>
      <c r="I463">
        <v>5</v>
      </c>
      <c r="J463" t="str">
        <f>HYPERLINK("Gene1663-zp_tree_all.dnd", "Gene1663-tree")</f>
        <v>Gene1663-tree</v>
      </c>
      <c r="K463">
        <v>5</v>
      </c>
      <c r="L463">
        <v>0</v>
      </c>
      <c r="M463">
        <v>5</v>
      </c>
      <c r="N463">
        <v>0</v>
      </c>
      <c r="O463">
        <v>0</v>
      </c>
      <c r="P463" t="s">
        <v>96</v>
      </c>
      <c r="Q463" t="s">
        <v>66</v>
      </c>
      <c r="R463" t="s">
        <v>66</v>
      </c>
      <c r="S463" t="s">
        <v>66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5</v>
      </c>
      <c r="AI463">
        <v>2</v>
      </c>
      <c r="AJ463">
        <v>26</v>
      </c>
      <c r="AK463">
        <v>0</v>
      </c>
      <c r="AL463">
        <v>34</v>
      </c>
      <c r="AM463">
        <v>0</v>
      </c>
      <c r="AN463" t="s">
        <v>68</v>
      </c>
      <c r="AO463" t="s">
        <v>68</v>
      </c>
      <c r="AP463">
        <v>0</v>
      </c>
      <c r="AQ463" t="s">
        <v>69</v>
      </c>
      <c r="AR463">
        <v>60</v>
      </c>
      <c r="AS463">
        <v>0</v>
      </c>
      <c r="AT463">
        <v>3.0419999999999999E-2</v>
      </c>
      <c r="AU463">
        <v>-5.2100000000000002E-3</v>
      </c>
      <c r="AV463">
        <v>0.15806000000000001</v>
      </c>
      <c r="AW463">
        <v>-2.8320000000000001E-2</v>
      </c>
      <c r="AX463">
        <v>0</v>
      </c>
      <c r="AY463">
        <v>0</v>
      </c>
      <c r="AZ463">
        <v>0</v>
      </c>
      <c r="BA463">
        <v>1</v>
      </c>
      <c r="BB463" t="s">
        <v>70</v>
      </c>
      <c r="BC463">
        <v>0.66800000000000004</v>
      </c>
      <c r="BD463">
        <v>0.42399999999999999</v>
      </c>
      <c r="BE463" t="s">
        <v>71</v>
      </c>
    </row>
    <row r="464" spans="1:57">
      <c r="A464">
        <v>1666</v>
      </c>
      <c r="B464" t="s">
        <v>1815</v>
      </c>
      <c r="D464" t="s">
        <v>60</v>
      </c>
      <c r="E464" t="s">
        <v>1816</v>
      </c>
      <c r="F464" t="s">
        <v>1817</v>
      </c>
      <c r="G464">
        <v>219</v>
      </c>
      <c r="H464" t="s">
        <v>63</v>
      </c>
      <c r="I464">
        <v>5</v>
      </c>
      <c r="J464" t="str">
        <f>HYPERLINK("Gene1666-zp_tree_all.dnd", "Gene1666-tree")</f>
        <v>Gene1666-tree</v>
      </c>
      <c r="K464">
        <v>1</v>
      </c>
      <c r="L464">
        <v>4</v>
      </c>
      <c r="M464">
        <v>1</v>
      </c>
      <c r="N464">
        <v>4</v>
      </c>
      <c r="O464">
        <v>0.8</v>
      </c>
      <c r="P464" t="s">
        <v>65</v>
      </c>
      <c r="Q464" t="s">
        <v>64</v>
      </c>
      <c r="R464" t="s">
        <v>66</v>
      </c>
      <c r="S464" t="s">
        <v>66</v>
      </c>
      <c r="T464">
        <v>0</v>
      </c>
      <c r="U464">
        <v>0</v>
      </c>
      <c r="V464">
        <v>10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10</v>
      </c>
      <c r="AG464">
        <v>0</v>
      </c>
      <c r="AH464">
        <v>5</v>
      </c>
      <c r="AI464">
        <v>2</v>
      </c>
      <c r="AJ464">
        <v>9</v>
      </c>
      <c r="AK464">
        <v>6</v>
      </c>
      <c r="AL464">
        <v>11</v>
      </c>
      <c r="AM464">
        <v>4</v>
      </c>
      <c r="AN464" t="s">
        <v>1818</v>
      </c>
      <c r="AO464" t="s">
        <v>1819</v>
      </c>
      <c r="AP464">
        <v>0.66300000000000003</v>
      </c>
      <c r="AQ464" t="s">
        <v>69</v>
      </c>
      <c r="AR464">
        <v>20</v>
      </c>
      <c r="AS464">
        <v>10</v>
      </c>
      <c r="AT464">
        <v>2.222E-2</v>
      </c>
      <c r="AU464">
        <v>-3.29E-3</v>
      </c>
      <c r="AV464">
        <v>7.4840000000000004E-2</v>
      </c>
      <c r="AW464">
        <v>-1.323E-2</v>
      </c>
      <c r="AX464">
        <v>9.3500000000000007E-3</v>
      </c>
      <c r="AY464">
        <v>-1.1999999999999999E-3</v>
      </c>
      <c r="AZ464">
        <v>0.12486999999999999</v>
      </c>
      <c r="BA464">
        <v>1</v>
      </c>
      <c r="BB464" t="s">
        <v>70</v>
      </c>
      <c r="BC464">
        <v>0.36499999999999999</v>
      </c>
      <c r="BD464">
        <v>0.36499999999999999</v>
      </c>
      <c r="BE464" t="s">
        <v>71</v>
      </c>
    </row>
    <row r="465" spans="1:57">
      <c r="A465">
        <v>1667</v>
      </c>
      <c r="B465" t="s">
        <v>1820</v>
      </c>
      <c r="D465" t="s">
        <v>60</v>
      </c>
      <c r="E465" t="s">
        <v>1821</v>
      </c>
      <c r="F465" t="s">
        <v>1822</v>
      </c>
      <c r="G465">
        <v>221</v>
      </c>
      <c r="H465" t="s">
        <v>63</v>
      </c>
      <c r="I465">
        <v>5</v>
      </c>
      <c r="J465" t="str">
        <f>HYPERLINK("Gene1667-zp_tree_all.dnd", "Gene1667-tree")</f>
        <v>Gene1667-tree</v>
      </c>
      <c r="K465">
        <v>4</v>
      </c>
      <c r="L465">
        <v>1</v>
      </c>
      <c r="M465">
        <v>3</v>
      </c>
      <c r="N465">
        <v>1</v>
      </c>
      <c r="O465">
        <v>0.25</v>
      </c>
      <c r="P465" t="s">
        <v>112</v>
      </c>
      <c r="Q465" t="s">
        <v>65</v>
      </c>
      <c r="R465" t="s">
        <v>66</v>
      </c>
      <c r="S465" t="s">
        <v>66</v>
      </c>
      <c r="T465">
        <v>0</v>
      </c>
      <c r="U465">
        <v>0</v>
      </c>
      <c r="V465">
        <v>4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3</v>
      </c>
      <c r="AG465">
        <v>0</v>
      </c>
      <c r="AH465">
        <v>4</v>
      </c>
      <c r="AI465">
        <v>1</v>
      </c>
      <c r="AJ465">
        <v>18</v>
      </c>
      <c r="AK465">
        <v>4</v>
      </c>
      <c r="AL465">
        <v>15</v>
      </c>
      <c r="AM465">
        <v>1</v>
      </c>
      <c r="AN465" t="s">
        <v>1823</v>
      </c>
      <c r="AO465" t="s">
        <v>1824</v>
      </c>
      <c r="AP465">
        <v>0.42699999999999999</v>
      </c>
      <c r="AQ465" t="s">
        <v>69</v>
      </c>
      <c r="AR465">
        <v>33</v>
      </c>
      <c r="AS465">
        <v>5</v>
      </c>
      <c r="AT465">
        <v>3.218E-2</v>
      </c>
      <c r="AU465">
        <v>-5.1700000000000001E-3</v>
      </c>
      <c r="AV465">
        <v>0.13966000000000001</v>
      </c>
      <c r="AW465">
        <v>-2.3300000000000001E-2</v>
      </c>
      <c r="AX465">
        <v>5.8300000000000001E-3</v>
      </c>
      <c r="AY465">
        <v>-1.08E-3</v>
      </c>
      <c r="AZ465">
        <v>4.1770000000000002E-2</v>
      </c>
      <c r="BA465">
        <v>1</v>
      </c>
      <c r="BB465" t="s">
        <v>70</v>
      </c>
      <c r="BC465">
        <v>0.35499999999999998</v>
      </c>
      <c r="BD465">
        <v>0.186</v>
      </c>
      <c r="BE465" t="s">
        <v>71</v>
      </c>
    </row>
    <row r="466" spans="1:57">
      <c r="A466">
        <v>1676</v>
      </c>
      <c r="B466" t="s">
        <v>1828</v>
      </c>
      <c r="D466" t="s">
        <v>60</v>
      </c>
      <c r="E466" t="s">
        <v>1829</v>
      </c>
      <c r="F466" t="s">
        <v>1830</v>
      </c>
      <c r="G466">
        <v>156</v>
      </c>
      <c r="H466" t="s">
        <v>63</v>
      </c>
      <c r="I466">
        <v>5</v>
      </c>
      <c r="J466" t="str">
        <f>HYPERLINK("Gene1676-zp_tree_all.dnd", "Gene1676-tree")</f>
        <v>Gene1676-tree</v>
      </c>
      <c r="K466">
        <v>4</v>
      </c>
      <c r="L466">
        <v>1</v>
      </c>
      <c r="M466">
        <v>3</v>
      </c>
      <c r="N466">
        <v>1</v>
      </c>
      <c r="O466">
        <v>0.25</v>
      </c>
      <c r="P466" t="s">
        <v>112</v>
      </c>
      <c r="Q466" t="s">
        <v>65</v>
      </c>
      <c r="R466" t="s">
        <v>66</v>
      </c>
      <c r="S466" t="s">
        <v>66</v>
      </c>
      <c r="T466">
        <v>0</v>
      </c>
      <c r="U466">
        <v>0</v>
      </c>
      <c r="V466">
        <v>5</v>
      </c>
      <c r="W466">
        <v>0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4</v>
      </c>
      <c r="AI466">
        <v>1</v>
      </c>
      <c r="AJ466">
        <v>10</v>
      </c>
      <c r="AK466">
        <v>1</v>
      </c>
      <c r="AL466">
        <v>10</v>
      </c>
      <c r="AM466">
        <v>4</v>
      </c>
      <c r="AN466" t="s">
        <v>1831</v>
      </c>
      <c r="AO466" t="s">
        <v>1832</v>
      </c>
      <c r="AP466">
        <v>1.7689999999999999</v>
      </c>
      <c r="AQ466" t="s">
        <v>69</v>
      </c>
      <c r="AR466">
        <v>20</v>
      </c>
      <c r="AS466">
        <v>5</v>
      </c>
      <c r="AT466">
        <v>3.0980000000000001E-2</v>
      </c>
      <c r="AU466">
        <v>-5.7099999999999998E-3</v>
      </c>
      <c r="AV466">
        <v>0.11846</v>
      </c>
      <c r="AW466">
        <v>-2.0559999999999998E-2</v>
      </c>
      <c r="AX466">
        <v>8.7899999999999992E-3</v>
      </c>
      <c r="AY466">
        <v>-1.66E-3</v>
      </c>
      <c r="AZ466">
        <v>7.4200000000000002E-2</v>
      </c>
      <c r="BA466">
        <v>1</v>
      </c>
      <c r="BB466" t="s">
        <v>70</v>
      </c>
      <c r="BC466">
        <v>0.89100000000000001</v>
      </c>
      <c r="BD466">
        <v>0.56799999999999995</v>
      </c>
      <c r="BE466" t="s">
        <v>71</v>
      </c>
    </row>
    <row r="467" spans="1:57">
      <c r="A467">
        <v>1677</v>
      </c>
      <c r="B467" t="s">
        <v>1833</v>
      </c>
      <c r="D467" t="s">
        <v>60</v>
      </c>
      <c r="E467" t="s">
        <v>1834</v>
      </c>
      <c r="F467" t="s">
        <v>1835</v>
      </c>
      <c r="G467">
        <v>209</v>
      </c>
      <c r="H467" t="s">
        <v>63</v>
      </c>
      <c r="I467">
        <v>5</v>
      </c>
      <c r="J467" t="str">
        <f>HYPERLINK("Gene1677-zp_tree_all.dnd", "Gene1677-tree")</f>
        <v>Gene1677-tree</v>
      </c>
      <c r="K467">
        <v>5</v>
      </c>
      <c r="L467">
        <v>0</v>
      </c>
      <c r="M467">
        <v>5</v>
      </c>
      <c r="N467">
        <v>0</v>
      </c>
      <c r="O467">
        <v>0</v>
      </c>
      <c r="P467" t="s">
        <v>96</v>
      </c>
      <c r="Q467" t="s">
        <v>66</v>
      </c>
      <c r="R467" t="s">
        <v>66</v>
      </c>
      <c r="S467" t="s">
        <v>66</v>
      </c>
      <c r="T467">
        <v>0</v>
      </c>
      <c r="U467">
        <v>0</v>
      </c>
      <c r="V467">
        <v>2</v>
      </c>
      <c r="W467">
        <v>0</v>
      </c>
      <c r="X467">
        <v>0</v>
      </c>
      <c r="Y467">
        <v>0</v>
      </c>
      <c r="Z467">
        <v>0</v>
      </c>
      <c r="AA467">
        <v>2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4</v>
      </c>
      <c r="AI467">
        <v>2</v>
      </c>
      <c r="AJ467">
        <v>16</v>
      </c>
      <c r="AK467">
        <v>0</v>
      </c>
      <c r="AL467">
        <v>16</v>
      </c>
      <c r="AM467">
        <v>2</v>
      </c>
      <c r="AN467" t="s">
        <v>68</v>
      </c>
      <c r="AO467" t="s">
        <v>1836</v>
      </c>
      <c r="AP467">
        <v>0.79400000000000004</v>
      </c>
      <c r="AQ467" t="s">
        <v>69</v>
      </c>
      <c r="AR467">
        <v>32</v>
      </c>
      <c r="AS467">
        <v>2</v>
      </c>
      <c r="AT467">
        <v>2.6950000000000002E-2</v>
      </c>
      <c r="AU467">
        <v>-4.79E-3</v>
      </c>
      <c r="AV467">
        <v>0.13091</v>
      </c>
      <c r="AW467">
        <v>-2.3470000000000001E-2</v>
      </c>
      <c r="AX467">
        <v>2.4399999999999999E-3</v>
      </c>
      <c r="AY467">
        <v>-5.8E-4</v>
      </c>
      <c r="AZ467">
        <v>1.865E-2</v>
      </c>
      <c r="BA467">
        <v>1</v>
      </c>
      <c r="BB467" t="s">
        <v>70</v>
      </c>
      <c r="BC467">
        <v>0.501</v>
      </c>
      <c r="BD467">
        <v>0.26500000000000001</v>
      </c>
      <c r="BE467" t="s">
        <v>71</v>
      </c>
    </row>
    <row r="468" spans="1:57">
      <c r="A468">
        <v>1678</v>
      </c>
      <c r="B468" t="s">
        <v>1837</v>
      </c>
      <c r="D468" t="s">
        <v>60</v>
      </c>
      <c r="E468" t="s">
        <v>1838</v>
      </c>
      <c r="F468" t="s">
        <v>1839</v>
      </c>
      <c r="G468">
        <v>166</v>
      </c>
      <c r="H468" t="s">
        <v>63</v>
      </c>
      <c r="I468">
        <v>5</v>
      </c>
      <c r="J468" t="str">
        <f>HYPERLINK("Gene1678-zp_tree_all.dnd", "Gene1678-tree")</f>
        <v>Gene1678-tree</v>
      </c>
      <c r="K468">
        <v>3</v>
      </c>
      <c r="L468">
        <v>2</v>
      </c>
      <c r="M468">
        <v>3</v>
      </c>
      <c r="N468">
        <v>1</v>
      </c>
      <c r="O468">
        <v>0.25</v>
      </c>
      <c r="P468" t="s">
        <v>86</v>
      </c>
      <c r="Q468" t="s">
        <v>65</v>
      </c>
      <c r="R468" t="s">
        <v>66</v>
      </c>
      <c r="S468" t="s">
        <v>66</v>
      </c>
      <c r="T468">
        <v>0</v>
      </c>
      <c r="U468">
        <v>0</v>
      </c>
      <c r="V468">
        <v>3</v>
      </c>
      <c r="W468">
        <v>0</v>
      </c>
      <c r="X468">
        <v>0</v>
      </c>
      <c r="Y468">
        <v>0</v>
      </c>
      <c r="Z468">
        <v>0</v>
      </c>
      <c r="AA468">
        <v>2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0</v>
      </c>
      <c r="AH468">
        <v>4</v>
      </c>
      <c r="AI468">
        <v>1</v>
      </c>
      <c r="AJ468">
        <v>15</v>
      </c>
      <c r="AK468">
        <v>1</v>
      </c>
      <c r="AL468">
        <v>12</v>
      </c>
      <c r="AM468">
        <v>2</v>
      </c>
      <c r="AN468" t="s">
        <v>1840</v>
      </c>
      <c r="AO468" t="s">
        <v>1841</v>
      </c>
      <c r="AP468">
        <v>0.84299999999999997</v>
      </c>
      <c r="AQ468" t="s">
        <v>69</v>
      </c>
      <c r="AR468">
        <v>27</v>
      </c>
      <c r="AS468">
        <v>3</v>
      </c>
      <c r="AT468">
        <v>3.4139999999999997E-2</v>
      </c>
      <c r="AU468">
        <v>-5.4599999999999996E-3</v>
      </c>
      <c r="AV468">
        <v>0.14419999999999999</v>
      </c>
      <c r="AW468">
        <v>-2.3859999999999999E-2</v>
      </c>
      <c r="AX468">
        <v>4.8399999999999997E-3</v>
      </c>
      <c r="AY468">
        <v>-1.15E-3</v>
      </c>
      <c r="AZ468">
        <v>3.354E-2</v>
      </c>
      <c r="BA468">
        <v>1</v>
      </c>
      <c r="BB468" t="s">
        <v>70</v>
      </c>
      <c r="BC468">
        <v>0.57999999999999996</v>
      </c>
      <c r="BD468">
        <v>0.57999999999999996</v>
      </c>
      <c r="BE468" t="s">
        <v>71</v>
      </c>
    </row>
    <row r="469" spans="1:57">
      <c r="A469">
        <v>1678</v>
      </c>
      <c r="B469" t="s">
        <v>1837</v>
      </c>
      <c r="D469" t="s">
        <v>60</v>
      </c>
      <c r="E469" t="s">
        <v>1838</v>
      </c>
      <c r="F469" t="s">
        <v>1839</v>
      </c>
      <c r="G469">
        <v>166</v>
      </c>
      <c r="H469" t="s">
        <v>63</v>
      </c>
      <c r="I469">
        <v>5</v>
      </c>
      <c r="J469" t="str">
        <f>HYPERLINK("Gene1678-zp_tree_all.dnd", "Gene1678-tree")</f>
        <v>Gene1678-tree</v>
      </c>
      <c r="K469">
        <v>3</v>
      </c>
      <c r="L469">
        <v>2</v>
      </c>
      <c r="M469">
        <v>3</v>
      </c>
      <c r="N469">
        <v>1</v>
      </c>
      <c r="O469">
        <v>0.25</v>
      </c>
      <c r="P469" t="s">
        <v>86</v>
      </c>
      <c r="Q469" t="s">
        <v>65</v>
      </c>
      <c r="R469" t="s">
        <v>66</v>
      </c>
      <c r="S469" t="s">
        <v>66</v>
      </c>
      <c r="T469">
        <v>0</v>
      </c>
      <c r="U469">
        <v>0</v>
      </c>
      <c r="V469">
        <v>3</v>
      </c>
      <c r="W469">
        <v>0</v>
      </c>
      <c r="X469">
        <v>0</v>
      </c>
      <c r="Y469">
        <v>0</v>
      </c>
      <c r="Z469">
        <v>0</v>
      </c>
      <c r="AA469">
        <v>2</v>
      </c>
      <c r="AB469">
        <v>0</v>
      </c>
      <c r="AC469">
        <v>0</v>
      </c>
      <c r="AD469">
        <v>0</v>
      </c>
      <c r="AE469">
        <v>0</v>
      </c>
      <c r="AF469">
        <v>1</v>
      </c>
      <c r="AG469">
        <v>0</v>
      </c>
      <c r="AH469">
        <v>4</v>
      </c>
      <c r="AI469">
        <v>1</v>
      </c>
      <c r="AJ469">
        <v>15</v>
      </c>
      <c r="AK469">
        <v>1</v>
      </c>
      <c r="AL469">
        <v>12</v>
      </c>
      <c r="AM469">
        <v>2</v>
      </c>
      <c r="AN469" t="s">
        <v>1840</v>
      </c>
      <c r="AO469" t="s">
        <v>1841</v>
      </c>
      <c r="AP469">
        <v>0.84299999999999997</v>
      </c>
      <c r="AQ469" t="s">
        <v>69</v>
      </c>
      <c r="AR469">
        <v>27</v>
      </c>
      <c r="AS469">
        <v>3</v>
      </c>
      <c r="AT469">
        <v>3.4139999999999997E-2</v>
      </c>
      <c r="AU469">
        <v>-5.4599999999999996E-3</v>
      </c>
      <c r="AV469">
        <v>0.14419999999999999</v>
      </c>
      <c r="AW469">
        <v>-2.3859999999999999E-2</v>
      </c>
      <c r="AX469">
        <v>4.8399999999999997E-3</v>
      </c>
      <c r="AY469">
        <v>-1.15E-3</v>
      </c>
      <c r="AZ469">
        <v>3.354E-2</v>
      </c>
      <c r="BA469">
        <v>1</v>
      </c>
      <c r="BB469" t="s">
        <v>70</v>
      </c>
      <c r="BC469">
        <v>0.57999999999999996</v>
      </c>
      <c r="BD469">
        <v>0.57999999999999996</v>
      </c>
      <c r="BE469" t="s">
        <v>71</v>
      </c>
    </row>
    <row r="470" spans="1:57">
      <c r="A470">
        <v>1679</v>
      </c>
      <c r="B470" t="s">
        <v>1842</v>
      </c>
      <c r="D470" t="s">
        <v>60</v>
      </c>
      <c r="E470" t="s">
        <v>1843</v>
      </c>
      <c r="F470" t="s">
        <v>1844</v>
      </c>
      <c r="G470">
        <v>254</v>
      </c>
      <c r="H470" t="s">
        <v>63</v>
      </c>
      <c r="I470">
        <v>5</v>
      </c>
      <c r="J470" t="str">
        <f>HYPERLINK("Gene1679-zp_tree_all.dnd", "Gene1679-tree")</f>
        <v>Gene1679-tree</v>
      </c>
      <c r="K470">
        <v>4</v>
      </c>
      <c r="L470">
        <v>1</v>
      </c>
      <c r="M470">
        <v>3</v>
      </c>
      <c r="N470">
        <v>1</v>
      </c>
      <c r="O470">
        <v>0.25</v>
      </c>
      <c r="P470" t="s">
        <v>112</v>
      </c>
      <c r="Q470" t="s">
        <v>65</v>
      </c>
      <c r="R470" t="s">
        <v>66</v>
      </c>
      <c r="S470" t="s">
        <v>66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0</v>
      </c>
      <c r="AH470">
        <v>4</v>
      </c>
      <c r="AI470">
        <v>1</v>
      </c>
      <c r="AJ470">
        <v>15</v>
      </c>
      <c r="AK470">
        <v>1</v>
      </c>
      <c r="AL470">
        <v>11</v>
      </c>
      <c r="AM470">
        <v>0</v>
      </c>
      <c r="AN470" t="s">
        <v>1845</v>
      </c>
      <c r="AO470" t="s">
        <v>68</v>
      </c>
      <c r="AP470">
        <v>0.56699999999999995</v>
      </c>
      <c r="AQ470" t="s">
        <v>69</v>
      </c>
      <c r="AR470">
        <v>26</v>
      </c>
      <c r="AS470">
        <v>1</v>
      </c>
      <c r="AT470">
        <v>1.9689999999999999E-2</v>
      </c>
      <c r="AU470">
        <v>-3.2000000000000002E-3</v>
      </c>
      <c r="AV470">
        <v>9.3890000000000001E-2</v>
      </c>
      <c r="AW470">
        <v>-1.626E-2</v>
      </c>
      <c r="AX470">
        <v>8.4000000000000003E-4</v>
      </c>
      <c r="AY470">
        <v>-2.4000000000000001E-4</v>
      </c>
      <c r="AZ470">
        <v>8.9499999999999996E-3</v>
      </c>
      <c r="BA470">
        <v>1</v>
      </c>
      <c r="BB470" t="s">
        <v>70</v>
      </c>
      <c r="BC470">
        <v>0.31</v>
      </c>
      <c r="BD470">
        <v>0.31</v>
      </c>
      <c r="BE470" t="s">
        <v>71</v>
      </c>
    </row>
    <row r="471" spans="1:57">
      <c r="A471">
        <v>1681</v>
      </c>
      <c r="B471" t="s">
        <v>1846</v>
      </c>
      <c r="D471" t="s">
        <v>60</v>
      </c>
      <c r="E471" t="s">
        <v>1847</v>
      </c>
      <c r="F471" t="s">
        <v>1848</v>
      </c>
      <c r="G471">
        <v>246</v>
      </c>
      <c r="H471" t="s">
        <v>63</v>
      </c>
      <c r="I471">
        <v>5</v>
      </c>
      <c r="J471" t="str">
        <f>HYPERLINK("Gene1681-zp_tree_all.dnd", "Gene1681-tree")</f>
        <v>Gene1681-tree</v>
      </c>
      <c r="K471">
        <v>5</v>
      </c>
      <c r="L471">
        <v>0</v>
      </c>
      <c r="M471">
        <v>4</v>
      </c>
      <c r="N471">
        <v>0</v>
      </c>
      <c r="O471">
        <v>0</v>
      </c>
      <c r="P471" t="s">
        <v>135</v>
      </c>
      <c r="Q471" t="s">
        <v>66</v>
      </c>
      <c r="R471" t="s">
        <v>66</v>
      </c>
      <c r="S471" t="s">
        <v>66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3</v>
      </c>
      <c r="AI471">
        <v>1</v>
      </c>
      <c r="AJ471">
        <v>7</v>
      </c>
      <c r="AK471">
        <v>0</v>
      </c>
      <c r="AL471">
        <v>2</v>
      </c>
      <c r="AM471">
        <v>0</v>
      </c>
      <c r="AN471" t="s">
        <v>68</v>
      </c>
      <c r="AO471" t="s">
        <v>68</v>
      </c>
      <c r="AP471">
        <v>0</v>
      </c>
      <c r="AQ471" t="s">
        <v>69</v>
      </c>
      <c r="AR471">
        <v>9</v>
      </c>
      <c r="AS471">
        <v>0</v>
      </c>
      <c r="AT471">
        <v>6.5500000000000003E-3</v>
      </c>
      <c r="AU471">
        <v>-1.08E-3</v>
      </c>
      <c r="AV471">
        <v>3.0679999999999999E-2</v>
      </c>
      <c r="AW471">
        <v>-5.1000000000000004E-3</v>
      </c>
      <c r="AX471">
        <v>0</v>
      </c>
      <c r="AY471">
        <v>0</v>
      </c>
      <c r="AZ471">
        <v>0</v>
      </c>
      <c r="BA471">
        <v>1</v>
      </c>
      <c r="BB471" t="s">
        <v>70</v>
      </c>
      <c r="BC471">
        <v>-0.19700000000000001</v>
      </c>
      <c r="BD471">
        <v>-0.19700000000000001</v>
      </c>
      <c r="BE471" t="s">
        <v>71</v>
      </c>
    </row>
    <row r="472" spans="1:57">
      <c r="A472">
        <v>1682</v>
      </c>
      <c r="B472" t="s">
        <v>1849</v>
      </c>
      <c r="D472" t="s">
        <v>60</v>
      </c>
      <c r="E472" t="s">
        <v>1850</v>
      </c>
      <c r="F472" t="s">
        <v>1851</v>
      </c>
      <c r="G472">
        <v>293</v>
      </c>
      <c r="H472" t="s">
        <v>63</v>
      </c>
      <c r="I472">
        <v>5</v>
      </c>
      <c r="J472" t="str">
        <f>HYPERLINK("Gene1682-zp_tree_all.dnd", "Gene1682-tree")</f>
        <v>Gene1682-tree</v>
      </c>
      <c r="K472">
        <v>4</v>
      </c>
      <c r="L472">
        <v>1</v>
      </c>
      <c r="M472">
        <v>4</v>
      </c>
      <c r="N472">
        <v>1</v>
      </c>
      <c r="O472">
        <v>0.2</v>
      </c>
      <c r="P472" t="s">
        <v>64</v>
      </c>
      <c r="Q472" t="s">
        <v>65</v>
      </c>
      <c r="R472" t="s">
        <v>66</v>
      </c>
      <c r="S472" t="s">
        <v>66</v>
      </c>
      <c r="T472">
        <v>0</v>
      </c>
      <c r="U472">
        <v>0</v>
      </c>
      <c r="V472">
        <v>6</v>
      </c>
      <c r="W472">
        <v>0</v>
      </c>
      <c r="X472">
        <v>0</v>
      </c>
      <c r="Y472">
        <v>0</v>
      </c>
      <c r="Z472">
        <v>0</v>
      </c>
      <c r="AA472">
        <v>4</v>
      </c>
      <c r="AB472">
        <v>0</v>
      </c>
      <c r="AC472">
        <v>0</v>
      </c>
      <c r="AD472">
        <v>0</v>
      </c>
      <c r="AE472">
        <v>0</v>
      </c>
      <c r="AF472">
        <v>2</v>
      </c>
      <c r="AG472">
        <v>0</v>
      </c>
      <c r="AH472">
        <v>4</v>
      </c>
      <c r="AI472">
        <v>2</v>
      </c>
      <c r="AJ472">
        <v>12</v>
      </c>
      <c r="AK472">
        <v>2</v>
      </c>
      <c r="AL472">
        <v>19</v>
      </c>
      <c r="AM472">
        <v>4</v>
      </c>
      <c r="AN472" t="s">
        <v>1852</v>
      </c>
      <c r="AO472" t="s">
        <v>1853</v>
      </c>
      <c r="AP472">
        <v>0.1</v>
      </c>
      <c r="AQ472" t="s">
        <v>69</v>
      </c>
      <c r="AR472">
        <v>31</v>
      </c>
      <c r="AS472">
        <v>6</v>
      </c>
      <c r="AT472">
        <v>2.162E-2</v>
      </c>
      <c r="AU472">
        <v>-3.81E-3</v>
      </c>
      <c r="AV472">
        <v>8.7499999999999994E-2</v>
      </c>
      <c r="AW472">
        <v>-1.5270000000000001E-2</v>
      </c>
      <c r="AX472">
        <v>4.7000000000000002E-3</v>
      </c>
      <c r="AY472">
        <v>-1.1199999999999999E-3</v>
      </c>
      <c r="AZ472">
        <v>5.3699999999999998E-2</v>
      </c>
      <c r="BA472">
        <v>1</v>
      </c>
      <c r="BB472" t="s">
        <v>70</v>
      </c>
      <c r="BC472">
        <v>0.98199999999999998</v>
      </c>
      <c r="BD472">
        <v>0.80400000000000005</v>
      </c>
      <c r="BE472" t="s">
        <v>71</v>
      </c>
    </row>
    <row r="473" spans="1:57">
      <c r="A473">
        <v>1683</v>
      </c>
      <c r="B473" t="s">
        <v>1854</v>
      </c>
      <c r="D473" t="s">
        <v>60</v>
      </c>
      <c r="E473" t="s">
        <v>1855</v>
      </c>
      <c r="F473" t="s">
        <v>1856</v>
      </c>
      <c r="G473">
        <v>240</v>
      </c>
      <c r="H473" t="s">
        <v>63</v>
      </c>
      <c r="I473">
        <v>5</v>
      </c>
      <c r="J473" t="str">
        <f>HYPERLINK("Gene1683-zp_tree_all.dnd", "Gene1683-tree")</f>
        <v>Gene1683-tree</v>
      </c>
      <c r="K473">
        <v>5</v>
      </c>
      <c r="L473">
        <v>0</v>
      </c>
      <c r="M473">
        <v>5</v>
      </c>
      <c r="N473">
        <v>0</v>
      </c>
      <c r="O473">
        <v>0</v>
      </c>
      <c r="P473" t="s">
        <v>96</v>
      </c>
      <c r="Q473" t="s">
        <v>66</v>
      </c>
      <c r="R473" t="s">
        <v>66</v>
      </c>
      <c r="S473" t="s">
        <v>66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4</v>
      </c>
      <c r="AI473">
        <v>2</v>
      </c>
      <c r="AJ473">
        <v>12</v>
      </c>
      <c r="AK473">
        <v>0</v>
      </c>
      <c r="AL473">
        <v>12</v>
      </c>
      <c r="AM473">
        <v>0</v>
      </c>
      <c r="AN473" t="s">
        <v>68</v>
      </c>
      <c r="AO473" t="s">
        <v>68</v>
      </c>
      <c r="AP473">
        <v>0</v>
      </c>
      <c r="AQ473" t="s">
        <v>69</v>
      </c>
      <c r="AR473">
        <v>24</v>
      </c>
      <c r="AS473">
        <v>0</v>
      </c>
      <c r="AT473">
        <v>1.6670000000000001E-2</v>
      </c>
      <c r="AU473">
        <v>-2.7599999999999999E-3</v>
      </c>
      <c r="AV473">
        <v>7.5130000000000002E-2</v>
      </c>
      <c r="AW473">
        <v>-1.2749999999999999E-2</v>
      </c>
      <c r="AX473">
        <v>0</v>
      </c>
      <c r="AY473">
        <v>0</v>
      </c>
      <c r="AZ473">
        <v>0</v>
      </c>
      <c r="BA473">
        <v>1</v>
      </c>
      <c r="BB473" t="s">
        <v>70</v>
      </c>
      <c r="BC473">
        <v>0.31</v>
      </c>
      <c r="BD473">
        <v>0.31</v>
      </c>
      <c r="BE473" t="s">
        <v>71</v>
      </c>
    </row>
    <row r="474" spans="1:57">
      <c r="A474">
        <v>1684</v>
      </c>
      <c r="B474" t="s">
        <v>1857</v>
      </c>
      <c r="D474" t="s">
        <v>60</v>
      </c>
      <c r="E474" t="s">
        <v>1858</v>
      </c>
      <c r="F474" t="s">
        <v>1859</v>
      </c>
      <c r="G474">
        <v>185</v>
      </c>
      <c r="H474" t="s">
        <v>63</v>
      </c>
      <c r="I474">
        <v>5</v>
      </c>
      <c r="J474" t="str">
        <f>HYPERLINK("Gene1684-zp_tree_all.dnd", "Gene1684-tree")</f>
        <v>Gene1684-tree</v>
      </c>
      <c r="K474">
        <v>4</v>
      </c>
      <c r="L474">
        <v>1</v>
      </c>
      <c r="M474">
        <v>4</v>
      </c>
      <c r="N474">
        <v>1</v>
      </c>
      <c r="O474">
        <v>0.2</v>
      </c>
      <c r="P474" t="s">
        <v>64</v>
      </c>
      <c r="Q474" t="s">
        <v>65</v>
      </c>
      <c r="R474" t="s">
        <v>66</v>
      </c>
      <c r="S474" t="s">
        <v>66</v>
      </c>
      <c r="T474">
        <v>0</v>
      </c>
      <c r="U474">
        <v>0</v>
      </c>
      <c r="V474">
        <v>5</v>
      </c>
      <c r="W474">
        <v>0</v>
      </c>
      <c r="X474">
        <v>0</v>
      </c>
      <c r="Y474">
        <v>0</v>
      </c>
      <c r="Z474">
        <v>0</v>
      </c>
      <c r="AA474">
        <v>4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0</v>
      </c>
      <c r="AH474">
        <v>5</v>
      </c>
      <c r="AI474">
        <v>1</v>
      </c>
      <c r="AJ474">
        <v>14</v>
      </c>
      <c r="AK474">
        <v>1</v>
      </c>
      <c r="AL474">
        <v>15</v>
      </c>
      <c r="AM474">
        <v>4</v>
      </c>
      <c r="AN474" t="s">
        <v>1860</v>
      </c>
      <c r="AO474" t="s">
        <v>1861</v>
      </c>
      <c r="AP474">
        <v>1.345</v>
      </c>
      <c r="AQ474" t="s">
        <v>69</v>
      </c>
      <c r="AR474">
        <v>29</v>
      </c>
      <c r="AS474">
        <v>5</v>
      </c>
      <c r="AT474">
        <v>3.0810000000000001E-2</v>
      </c>
      <c r="AU474">
        <v>-5.3099999999999996E-3</v>
      </c>
      <c r="AV474">
        <v>0.123</v>
      </c>
      <c r="AW474">
        <v>-2.128E-2</v>
      </c>
      <c r="AX474">
        <v>6.62E-3</v>
      </c>
      <c r="AY474">
        <v>-1.2899999999999999E-3</v>
      </c>
      <c r="AZ474">
        <v>5.3780000000000001E-2</v>
      </c>
      <c r="BA474">
        <v>1</v>
      </c>
      <c r="BB474" t="s">
        <v>70</v>
      </c>
      <c r="BC474">
        <v>0.59599999999999997</v>
      </c>
      <c r="BD474">
        <v>0.35899999999999999</v>
      </c>
      <c r="BE474" t="s">
        <v>71</v>
      </c>
    </row>
    <row r="475" spans="1:57">
      <c r="A475">
        <v>1685</v>
      </c>
      <c r="B475" t="s">
        <v>1862</v>
      </c>
      <c r="D475" t="s">
        <v>60</v>
      </c>
      <c r="E475" t="s">
        <v>1863</v>
      </c>
      <c r="F475" t="s">
        <v>1864</v>
      </c>
      <c r="G475">
        <v>260</v>
      </c>
      <c r="H475" t="s">
        <v>63</v>
      </c>
      <c r="I475">
        <v>5</v>
      </c>
      <c r="J475" t="str">
        <f>HYPERLINK("Gene1685-zp_tree_all.dnd", "Gene1685-tree")</f>
        <v>Gene1685-tree</v>
      </c>
      <c r="K475">
        <v>3</v>
      </c>
      <c r="L475">
        <v>2</v>
      </c>
      <c r="M475">
        <v>3</v>
      </c>
      <c r="N475">
        <v>2</v>
      </c>
      <c r="O475">
        <v>0.4</v>
      </c>
      <c r="P475" t="s">
        <v>86</v>
      </c>
      <c r="Q475" t="s">
        <v>124</v>
      </c>
      <c r="R475" t="s">
        <v>66</v>
      </c>
      <c r="S475" t="s">
        <v>66</v>
      </c>
      <c r="T475">
        <v>1</v>
      </c>
      <c r="U475">
        <v>2</v>
      </c>
      <c r="V475">
        <v>6</v>
      </c>
      <c r="W475">
        <v>0.25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2</v>
      </c>
      <c r="AE475">
        <v>2</v>
      </c>
      <c r="AF475">
        <v>6</v>
      </c>
      <c r="AG475">
        <v>0.25</v>
      </c>
      <c r="AH475">
        <v>5</v>
      </c>
      <c r="AI475">
        <v>1</v>
      </c>
      <c r="AJ475">
        <v>11</v>
      </c>
      <c r="AK475">
        <v>3</v>
      </c>
      <c r="AL475">
        <v>19</v>
      </c>
      <c r="AM475">
        <v>5</v>
      </c>
      <c r="AN475" t="s">
        <v>1865</v>
      </c>
      <c r="AO475" t="s">
        <v>1866</v>
      </c>
      <c r="AP475">
        <v>6.6000000000000003E-2</v>
      </c>
      <c r="AQ475" t="s">
        <v>69</v>
      </c>
      <c r="AR475">
        <v>30</v>
      </c>
      <c r="AS475">
        <v>8</v>
      </c>
      <c r="AT475">
        <v>2.564E-2</v>
      </c>
      <c r="AU475">
        <v>-5.4200000000000003E-3</v>
      </c>
      <c r="AV475">
        <v>0.1033</v>
      </c>
      <c r="AW475">
        <v>-2.2100000000000002E-2</v>
      </c>
      <c r="AX475">
        <v>6.9199999999999999E-3</v>
      </c>
      <c r="AY475">
        <v>-1.5399999999999999E-3</v>
      </c>
      <c r="AZ475">
        <v>6.6970000000000002E-2</v>
      </c>
      <c r="BA475">
        <v>1</v>
      </c>
      <c r="BB475" t="s">
        <v>70</v>
      </c>
      <c r="BC475">
        <v>0.72499999999999998</v>
      </c>
      <c r="BD475">
        <v>0.72499999999999998</v>
      </c>
      <c r="BE475" t="s">
        <v>71</v>
      </c>
    </row>
    <row r="476" spans="1:57">
      <c r="A476">
        <v>1686</v>
      </c>
      <c r="B476" t="s">
        <v>1867</v>
      </c>
      <c r="D476" t="s">
        <v>60</v>
      </c>
      <c r="E476" t="s">
        <v>1868</v>
      </c>
      <c r="F476" t="s">
        <v>1869</v>
      </c>
      <c r="G476">
        <v>269</v>
      </c>
      <c r="H476" t="s">
        <v>63</v>
      </c>
      <c r="I476">
        <v>5</v>
      </c>
      <c r="J476" t="str">
        <f>HYPERLINK("Gene1686-zp_tree_all.dnd", "Gene1686-tree")</f>
        <v>Gene1686-tree</v>
      </c>
      <c r="K476">
        <v>2</v>
      </c>
      <c r="L476">
        <v>3</v>
      </c>
      <c r="M476">
        <v>2</v>
      </c>
      <c r="N476">
        <v>3</v>
      </c>
      <c r="O476">
        <v>0.6</v>
      </c>
      <c r="P476" t="s">
        <v>124</v>
      </c>
      <c r="Q476" t="s">
        <v>86</v>
      </c>
      <c r="R476" t="s">
        <v>66</v>
      </c>
      <c r="S476" t="s">
        <v>66</v>
      </c>
      <c r="T476">
        <v>0</v>
      </c>
      <c r="U476">
        <v>0</v>
      </c>
      <c r="V476">
        <v>9</v>
      </c>
      <c r="W476">
        <v>0</v>
      </c>
      <c r="X476">
        <v>0</v>
      </c>
      <c r="Y476">
        <v>0</v>
      </c>
      <c r="Z476">
        <v>0</v>
      </c>
      <c r="AA476">
        <v>5</v>
      </c>
      <c r="AB476">
        <v>0</v>
      </c>
      <c r="AC476">
        <v>0</v>
      </c>
      <c r="AD476">
        <v>0</v>
      </c>
      <c r="AE476">
        <v>0</v>
      </c>
      <c r="AF476">
        <v>4</v>
      </c>
      <c r="AG476">
        <v>0</v>
      </c>
      <c r="AH476">
        <v>5</v>
      </c>
      <c r="AI476">
        <v>2</v>
      </c>
      <c r="AJ476">
        <v>18</v>
      </c>
      <c r="AK476">
        <v>4</v>
      </c>
      <c r="AL476">
        <v>19</v>
      </c>
      <c r="AM476">
        <v>5</v>
      </c>
      <c r="AN476" t="s">
        <v>1870</v>
      </c>
      <c r="AO476" t="s">
        <v>1871</v>
      </c>
      <c r="AP476">
        <v>0.10100000000000001</v>
      </c>
      <c r="AQ476" t="s">
        <v>69</v>
      </c>
      <c r="AR476">
        <v>37</v>
      </c>
      <c r="AS476">
        <v>9</v>
      </c>
      <c r="AT476">
        <v>2.7629999999999998E-2</v>
      </c>
      <c r="AU476">
        <v>-4.4299999999999999E-3</v>
      </c>
      <c r="AV476">
        <v>9.8610000000000003E-2</v>
      </c>
      <c r="AW476">
        <v>-1.6E-2</v>
      </c>
      <c r="AX476">
        <v>7.5599999999999999E-3</v>
      </c>
      <c r="AY476">
        <v>-1.4E-3</v>
      </c>
      <c r="AZ476">
        <v>7.671E-2</v>
      </c>
      <c r="BA476">
        <v>1</v>
      </c>
      <c r="BB476" t="s">
        <v>70</v>
      </c>
      <c r="BC476">
        <v>0.79900000000000004</v>
      </c>
      <c r="BD476">
        <v>0.314</v>
      </c>
      <c r="BE476" t="s">
        <v>71</v>
      </c>
    </row>
    <row r="477" spans="1:57">
      <c r="A477">
        <v>1687</v>
      </c>
      <c r="B477" t="s">
        <v>1872</v>
      </c>
      <c r="D477" t="s">
        <v>60</v>
      </c>
      <c r="E477" t="s">
        <v>1873</v>
      </c>
      <c r="F477" t="s">
        <v>1874</v>
      </c>
      <c r="G477">
        <v>383</v>
      </c>
      <c r="H477" t="s">
        <v>63</v>
      </c>
      <c r="I477">
        <v>5</v>
      </c>
      <c r="J477" t="str">
        <f>HYPERLINK("Gene1687-zp_tree_all.dnd", "Gene1687-tree")</f>
        <v>Gene1687-tree</v>
      </c>
      <c r="K477">
        <v>3</v>
      </c>
      <c r="L477">
        <v>2</v>
      </c>
      <c r="M477">
        <v>3</v>
      </c>
      <c r="N477">
        <v>2</v>
      </c>
      <c r="O477">
        <v>0.4</v>
      </c>
      <c r="P477" t="s">
        <v>86</v>
      </c>
      <c r="Q477" t="s">
        <v>124</v>
      </c>
      <c r="R477" t="s">
        <v>66</v>
      </c>
      <c r="S477" t="s">
        <v>66</v>
      </c>
      <c r="T477">
        <v>1</v>
      </c>
      <c r="U477">
        <v>2</v>
      </c>
      <c r="V477">
        <v>6</v>
      </c>
      <c r="W477">
        <v>0.25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2</v>
      </c>
      <c r="AE477">
        <v>2</v>
      </c>
      <c r="AF477">
        <v>6</v>
      </c>
      <c r="AG477">
        <v>0.25</v>
      </c>
      <c r="AH477">
        <v>5</v>
      </c>
      <c r="AI477">
        <v>2</v>
      </c>
      <c r="AJ477">
        <v>26</v>
      </c>
      <c r="AK477">
        <v>4</v>
      </c>
      <c r="AL477">
        <v>31</v>
      </c>
      <c r="AM477">
        <v>4</v>
      </c>
      <c r="AN477" t="s">
        <v>1875</v>
      </c>
      <c r="AO477" t="s">
        <v>1876</v>
      </c>
      <c r="AP477">
        <v>0.13800000000000001</v>
      </c>
      <c r="AQ477" t="s">
        <v>69</v>
      </c>
      <c r="AR477">
        <v>57</v>
      </c>
      <c r="AS477">
        <v>8</v>
      </c>
      <c r="AT477">
        <v>2.776E-2</v>
      </c>
      <c r="AU477">
        <v>-4.8399999999999997E-3</v>
      </c>
      <c r="AV477">
        <v>0.12127</v>
      </c>
      <c r="AW477">
        <v>-2.1399999999999999E-2</v>
      </c>
      <c r="AX477">
        <v>4.1700000000000001E-3</v>
      </c>
      <c r="AY477">
        <v>-8.8999999999999995E-4</v>
      </c>
      <c r="AZ477">
        <v>3.4380000000000001E-2</v>
      </c>
      <c r="BA477">
        <v>1</v>
      </c>
      <c r="BB477" t="s">
        <v>70</v>
      </c>
      <c r="BC477">
        <v>0.54400000000000004</v>
      </c>
      <c r="BD477">
        <v>0.315</v>
      </c>
      <c r="BE477" t="s">
        <v>71</v>
      </c>
    </row>
    <row r="478" spans="1:57">
      <c r="A478">
        <v>1688</v>
      </c>
      <c r="B478" t="s">
        <v>1877</v>
      </c>
      <c r="D478" t="s">
        <v>60</v>
      </c>
      <c r="E478" t="s">
        <v>1878</v>
      </c>
      <c r="F478" t="s">
        <v>1879</v>
      </c>
      <c r="G478">
        <v>422</v>
      </c>
      <c r="H478" t="s">
        <v>63</v>
      </c>
      <c r="I478">
        <v>5</v>
      </c>
      <c r="J478" t="str">
        <f>HYPERLINK("Gene1688-zp_tree_all.dnd", "Gene1688-tree")</f>
        <v>Gene1688-tree</v>
      </c>
      <c r="K478">
        <v>2</v>
      </c>
      <c r="L478">
        <v>3</v>
      </c>
      <c r="M478">
        <v>2</v>
      </c>
      <c r="N478">
        <v>3</v>
      </c>
      <c r="O478">
        <v>0.6</v>
      </c>
      <c r="P478" t="s">
        <v>124</v>
      </c>
      <c r="Q478" t="s">
        <v>86</v>
      </c>
      <c r="R478" t="s">
        <v>66</v>
      </c>
      <c r="S478" t="s">
        <v>66</v>
      </c>
      <c r="T478">
        <v>1</v>
      </c>
      <c r="U478">
        <v>2</v>
      </c>
      <c r="V478">
        <v>19</v>
      </c>
      <c r="W478">
        <v>9.5240000000000005E-2</v>
      </c>
      <c r="X478">
        <v>0</v>
      </c>
      <c r="Y478">
        <v>0</v>
      </c>
      <c r="Z478">
        <v>0</v>
      </c>
      <c r="AA478">
        <v>2</v>
      </c>
      <c r="AB478">
        <v>0</v>
      </c>
      <c r="AC478">
        <v>0</v>
      </c>
      <c r="AD478">
        <v>2</v>
      </c>
      <c r="AE478">
        <v>2</v>
      </c>
      <c r="AF478">
        <v>17</v>
      </c>
      <c r="AG478">
        <v>0.10526000000000001</v>
      </c>
      <c r="AH478">
        <v>5</v>
      </c>
      <c r="AI478">
        <v>2</v>
      </c>
      <c r="AJ478">
        <v>71</v>
      </c>
      <c r="AK478">
        <v>22</v>
      </c>
      <c r="AL478">
        <v>33</v>
      </c>
      <c r="AM478">
        <v>2</v>
      </c>
      <c r="AN478" t="s">
        <v>1880</v>
      </c>
      <c r="AO478" t="s">
        <v>1881</v>
      </c>
      <c r="AP478">
        <v>0.6</v>
      </c>
      <c r="AQ478" t="s">
        <v>69</v>
      </c>
      <c r="AR478">
        <v>104</v>
      </c>
      <c r="AS478">
        <v>24</v>
      </c>
      <c r="AT478">
        <v>4.36E-2</v>
      </c>
      <c r="AU478">
        <v>-5.8100000000000001E-3</v>
      </c>
      <c r="AV478">
        <v>0.17558000000000001</v>
      </c>
      <c r="AW478">
        <v>-2.3429999999999999E-2</v>
      </c>
      <c r="AX478">
        <v>1.0410000000000001E-2</v>
      </c>
      <c r="AY478">
        <v>-2.7499999999999998E-3</v>
      </c>
      <c r="AZ478">
        <v>5.9299999999999999E-2</v>
      </c>
      <c r="BA478">
        <v>1</v>
      </c>
      <c r="BB478" t="s">
        <v>70</v>
      </c>
      <c r="BC478">
        <v>0</v>
      </c>
      <c r="BD478">
        <v>-0.496</v>
      </c>
      <c r="BE478" t="s">
        <v>71</v>
      </c>
    </row>
    <row r="479" spans="1:57">
      <c r="A479">
        <v>1693</v>
      </c>
      <c r="B479" t="s">
        <v>1885</v>
      </c>
      <c r="D479" t="s">
        <v>60</v>
      </c>
      <c r="E479" t="s">
        <v>1886</v>
      </c>
      <c r="F479" t="s">
        <v>74</v>
      </c>
      <c r="G479">
        <v>91</v>
      </c>
      <c r="H479" t="s">
        <v>63</v>
      </c>
      <c r="I479">
        <v>5</v>
      </c>
      <c r="J479" t="str">
        <f>HYPERLINK("Gene1693-zp_tree_all.dnd", "Gene1693-tree")</f>
        <v>Gene1693-tree</v>
      </c>
      <c r="K479">
        <v>5</v>
      </c>
      <c r="L479">
        <v>0</v>
      </c>
      <c r="M479">
        <v>5</v>
      </c>
      <c r="N479">
        <v>0</v>
      </c>
      <c r="O479">
        <v>0</v>
      </c>
      <c r="P479" t="s">
        <v>96</v>
      </c>
      <c r="Q479" t="s">
        <v>66</v>
      </c>
      <c r="R479" t="s">
        <v>66</v>
      </c>
      <c r="S479" t="s">
        <v>66</v>
      </c>
      <c r="T479">
        <v>0</v>
      </c>
      <c r="U479">
        <v>0</v>
      </c>
      <c r="V479">
        <v>3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2</v>
      </c>
      <c r="AI479">
        <v>2</v>
      </c>
      <c r="AJ479">
        <v>2</v>
      </c>
      <c r="AK479">
        <v>0</v>
      </c>
      <c r="AL479">
        <v>3</v>
      </c>
      <c r="AM479">
        <v>3</v>
      </c>
      <c r="AN479" t="s">
        <v>68</v>
      </c>
      <c r="AO479" t="s">
        <v>1887</v>
      </c>
      <c r="AP479">
        <v>1.2689999999999999</v>
      </c>
      <c r="AQ479" t="s">
        <v>69</v>
      </c>
      <c r="AR479">
        <v>5</v>
      </c>
      <c r="AS479">
        <v>3</v>
      </c>
      <c r="AT479">
        <v>1.6119999999999999E-2</v>
      </c>
      <c r="AU479">
        <v>-3.1199999999999999E-3</v>
      </c>
      <c r="AV479">
        <v>4.6309999999999997E-2</v>
      </c>
      <c r="AW479">
        <v>-7.8499999999999993E-3</v>
      </c>
      <c r="AX479">
        <v>8.4700000000000001E-3</v>
      </c>
      <c r="AY479">
        <v>-2.0200000000000001E-3</v>
      </c>
      <c r="AZ479">
        <v>0.18285000000000001</v>
      </c>
      <c r="BA479">
        <v>0.96599999999999997</v>
      </c>
      <c r="BB479" t="s">
        <v>70</v>
      </c>
      <c r="BC479">
        <v>1.028</v>
      </c>
      <c r="BD479">
        <v>1.028</v>
      </c>
      <c r="BE479" t="s">
        <v>71</v>
      </c>
    </row>
    <row r="480" spans="1:57">
      <c r="A480">
        <v>1696</v>
      </c>
      <c r="B480" t="s">
        <v>1896</v>
      </c>
      <c r="D480" t="s">
        <v>60</v>
      </c>
      <c r="E480" t="s">
        <v>1897</v>
      </c>
      <c r="F480" t="s">
        <v>74</v>
      </c>
      <c r="G480">
        <v>92</v>
      </c>
      <c r="H480" t="s">
        <v>63</v>
      </c>
      <c r="I480">
        <v>5</v>
      </c>
      <c r="J480" t="str">
        <f>HYPERLINK("Gene1696-zp_tree_all.dnd", "Gene1696-tree")</f>
        <v>Gene1696-tree</v>
      </c>
      <c r="K480">
        <v>5</v>
      </c>
      <c r="L480">
        <v>0</v>
      </c>
      <c r="M480">
        <v>5</v>
      </c>
      <c r="N480">
        <v>0</v>
      </c>
      <c r="O480">
        <v>0</v>
      </c>
      <c r="P480" t="s">
        <v>96</v>
      </c>
      <c r="Q480" t="s">
        <v>66</v>
      </c>
      <c r="R480" t="s">
        <v>66</v>
      </c>
      <c r="S480" t="s">
        <v>66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3</v>
      </c>
      <c r="AI480">
        <v>2</v>
      </c>
      <c r="AJ480">
        <v>7</v>
      </c>
      <c r="AK480">
        <v>0</v>
      </c>
      <c r="AL480">
        <v>2</v>
      </c>
      <c r="AM480">
        <v>1</v>
      </c>
      <c r="AN480" t="s">
        <v>68</v>
      </c>
      <c r="AO480" t="s">
        <v>1898</v>
      </c>
      <c r="AP480">
        <v>0.70699999999999996</v>
      </c>
      <c r="AQ480" t="s">
        <v>69</v>
      </c>
      <c r="AR480">
        <v>9</v>
      </c>
      <c r="AS480">
        <v>1</v>
      </c>
      <c r="AT480">
        <v>1.6670000000000001E-2</v>
      </c>
      <c r="AU480">
        <v>-2.5699999999999998E-3</v>
      </c>
      <c r="AV480">
        <v>6.5189999999999998E-2</v>
      </c>
      <c r="AW480">
        <v>-1.1639999999999999E-2</v>
      </c>
      <c r="AX480">
        <v>2.8500000000000001E-3</v>
      </c>
      <c r="AY480">
        <v>-6.8000000000000005E-4</v>
      </c>
      <c r="AZ480">
        <v>4.3740000000000001E-2</v>
      </c>
      <c r="BA480">
        <v>1</v>
      </c>
      <c r="BB480" t="s">
        <v>70</v>
      </c>
      <c r="BC480">
        <v>-0.29799999999999999</v>
      </c>
      <c r="BD480">
        <v>-0.29799999999999999</v>
      </c>
      <c r="BE480" t="s">
        <v>71</v>
      </c>
    </row>
    <row r="481" spans="1:57">
      <c r="A481">
        <v>1697</v>
      </c>
      <c r="B481" t="s">
        <v>1899</v>
      </c>
      <c r="D481" t="s">
        <v>60</v>
      </c>
      <c r="E481" t="s">
        <v>1900</v>
      </c>
      <c r="F481" t="s">
        <v>1901</v>
      </c>
      <c r="G481">
        <v>117</v>
      </c>
      <c r="H481" t="s">
        <v>63</v>
      </c>
      <c r="I481">
        <v>5</v>
      </c>
      <c r="J481" t="str">
        <f>HYPERLINK("Gene1697-zp_tree_all.dnd", "Gene1697-tree")</f>
        <v>Gene1697-tree</v>
      </c>
      <c r="K481">
        <v>4</v>
      </c>
      <c r="L481">
        <v>1</v>
      </c>
      <c r="M481">
        <v>3</v>
      </c>
      <c r="N481">
        <v>1</v>
      </c>
      <c r="O481">
        <v>0.25</v>
      </c>
      <c r="P481" t="s">
        <v>112</v>
      </c>
      <c r="Q481" t="s">
        <v>65</v>
      </c>
      <c r="R481" t="s">
        <v>66</v>
      </c>
      <c r="S481" t="s">
        <v>66</v>
      </c>
      <c r="T481">
        <v>0</v>
      </c>
      <c r="U481">
        <v>0</v>
      </c>
      <c r="V481">
        <v>2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0</v>
      </c>
      <c r="AH481">
        <v>3</v>
      </c>
      <c r="AI481">
        <v>1</v>
      </c>
      <c r="AJ481">
        <v>8</v>
      </c>
      <c r="AK481">
        <v>1</v>
      </c>
      <c r="AL481">
        <v>3</v>
      </c>
      <c r="AM481">
        <v>1</v>
      </c>
      <c r="AN481" t="s">
        <v>1902</v>
      </c>
      <c r="AO481" t="s">
        <v>1903</v>
      </c>
      <c r="AP481">
        <v>1.302</v>
      </c>
      <c r="AQ481" t="s">
        <v>69</v>
      </c>
      <c r="AR481">
        <v>11</v>
      </c>
      <c r="AS481">
        <v>2</v>
      </c>
      <c r="AT481">
        <v>2.0420000000000001E-2</v>
      </c>
      <c r="AU481">
        <v>-3.3899999999999998E-3</v>
      </c>
      <c r="AV481">
        <v>7.9939999999999997E-2</v>
      </c>
      <c r="AW481">
        <v>-1.273E-2</v>
      </c>
      <c r="AX481">
        <v>4.3200000000000001E-3</v>
      </c>
      <c r="AY481">
        <v>-7.5000000000000002E-4</v>
      </c>
      <c r="AZ481">
        <v>5.4010000000000002E-2</v>
      </c>
      <c r="BA481">
        <v>1</v>
      </c>
      <c r="BB481" t="s">
        <v>70</v>
      </c>
      <c r="BC481">
        <v>-4.7E-2</v>
      </c>
      <c r="BD481">
        <v>-4.7E-2</v>
      </c>
      <c r="BE481" t="s">
        <v>71</v>
      </c>
    </row>
    <row r="482" spans="1:57">
      <c r="A482">
        <v>1701</v>
      </c>
      <c r="B482" t="s">
        <v>1907</v>
      </c>
      <c r="D482" t="s">
        <v>60</v>
      </c>
      <c r="E482" t="s">
        <v>1908</v>
      </c>
      <c r="F482" t="s">
        <v>1909</v>
      </c>
      <c r="G482">
        <v>705</v>
      </c>
      <c r="H482" t="s">
        <v>85</v>
      </c>
      <c r="I482">
        <v>4</v>
      </c>
      <c r="J482" t="str">
        <f>HYPERLINK("Gene1701-zp_tree_all.dnd", "Gene1701-tree")</f>
        <v>Gene1701-tree</v>
      </c>
      <c r="K482">
        <v>2</v>
      </c>
      <c r="L482">
        <v>2</v>
      </c>
      <c r="M482">
        <v>2</v>
      </c>
      <c r="N482">
        <v>2</v>
      </c>
      <c r="O482">
        <v>0.5</v>
      </c>
      <c r="P482" t="s">
        <v>124</v>
      </c>
      <c r="Q482" t="s">
        <v>124</v>
      </c>
      <c r="R482" t="s">
        <v>66</v>
      </c>
      <c r="S482" t="s">
        <v>66</v>
      </c>
      <c r="T482">
        <v>0</v>
      </c>
      <c r="U482">
        <v>0</v>
      </c>
      <c r="V482">
        <v>12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12</v>
      </c>
      <c r="AG482">
        <v>0</v>
      </c>
      <c r="AH482">
        <v>4</v>
      </c>
      <c r="AI482">
        <v>1</v>
      </c>
      <c r="AJ482">
        <v>98</v>
      </c>
      <c r="AK482">
        <v>13</v>
      </c>
      <c r="AL482">
        <v>4</v>
      </c>
      <c r="AM482">
        <v>0</v>
      </c>
      <c r="AN482" t="s">
        <v>1910</v>
      </c>
      <c r="AO482" t="s">
        <v>68</v>
      </c>
      <c r="AP482">
        <v>0.48499999999999999</v>
      </c>
      <c r="AQ482" t="s">
        <v>69</v>
      </c>
      <c r="AR482">
        <v>102</v>
      </c>
      <c r="AS482">
        <v>13</v>
      </c>
      <c r="AT482">
        <v>2.664E-2</v>
      </c>
      <c r="AU482">
        <v>-8.2400000000000008E-3</v>
      </c>
      <c r="AV482">
        <v>0.11607000000000001</v>
      </c>
      <c r="AW482">
        <v>-3.6240000000000001E-2</v>
      </c>
      <c r="AX482">
        <v>4.0000000000000001E-3</v>
      </c>
      <c r="AY482">
        <v>-1.47E-3</v>
      </c>
      <c r="AZ482">
        <v>3.449E-2</v>
      </c>
      <c r="BA482">
        <v>1</v>
      </c>
      <c r="BB482" t="s">
        <v>70</v>
      </c>
      <c r="BC482">
        <v>-0.54900000000000004</v>
      </c>
      <c r="BD482">
        <v>-0.81399999999999995</v>
      </c>
      <c r="BE482" t="s">
        <v>71</v>
      </c>
    </row>
    <row r="483" spans="1:57">
      <c r="A483">
        <v>1703</v>
      </c>
      <c r="B483" t="s">
        <v>1911</v>
      </c>
      <c r="D483" t="s">
        <v>60</v>
      </c>
      <c r="E483" t="s">
        <v>1912</v>
      </c>
      <c r="F483" t="s">
        <v>1913</v>
      </c>
      <c r="G483">
        <v>409</v>
      </c>
      <c r="H483" t="s">
        <v>106</v>
      </c>
      <c r="I483">
        <v>4</v>
      </c>
      <c r="J483" t="str">
        <f>HYPERLINK("Gene1703-zp_tree_all.dnd", "Gene1703-tree")</f>
        <v>Gene1703-tree</v>
      </c>
      <c r="K483">
        <v>3</v>
      </c>
      <c r="L483">
        <v>1</v>
      </c>
      <c r="M483">
        <v>3</v>
      </c>
      <c r="N483">
        <v>1</v>
      </c>
      <c r="O483">
        <v>0.25</v>
      </c>
      <c r="P483" t="s">
        <v>86</v>
      </c>
      <c r="Q483" t="s">
        <v>65</v>
      </c>
      <c r="R483" t="s">
        <v>66</v>
      </c>
      <c r="S483" t="s">
        <v>66</v>
      </c>
      <c r="T483">
        <v>0</v>
      </c>
      <c r="U483">
        <v>0</v>
      </c>
      <c r="V483">
        <v>5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5</v>
      </c>
      <c r="AG483">
        <v>0</v>
      </c>
      <c r="AH483">
        <v>4</v>
      </c>
      <c r="AI483">
        <v>0</v>
      </c>
      <c r="AJ483">
        <v>60</v>
      </c>
      <c r="AK483">
        <v>6</v>
      </c>
      <c r="AL483">
        <v>0</v>
      </c>
      <c r="AM483">
        <v>0</v>
      </c>
      <c r="AN483" t="s">
        <v>1914</v>
      </c>
      <c r="AO483" t="s">
        <v>68</v>
      </c>
      <c r="AP483">
        <v>0.45900000000000002</v>
      </c>
      <c r="AQ483" t="s">
        <v>69</v>
      </c>
      <c r="AR483">
        <v>60</v>
      </c>
      <c r="AS483">
        <v>6</v>
      </c>
      <c r="AT483">
        <v>2.649E-2</v>
      </c>
      <c r="AU483">
        <v>-7.28E-3</v>
      </c>
      <c r="AV483">
        <v>0.12012</v>
      </c>
      <c r="AW483">
        <v>-3.2870000000000003E-2</v>
      </c>
      <c r="AX483">
        <v>3.16E-3</v>
      </c>
      <c r="AY483">
        <v>-1.2899999999999999E-3</v>
      </c>
      <c r="AZ483">
        <v>2.6339999999999999E-2</v>
      </c>
      <c r="BA483">
        <v>1</v>
      </c>
      <c r="BB483" t="s">
        <v>70</v>
      </c>
      <c r="BC483">
        <v>-0.56599999999999995</v>
      </c>
      <c r="BD483">
        <v>-1.0209999999999999</v>
      </c>
      <c r="BE483" t="s">
        <v>71</v>
      </c>
    </row>
    <row r="484" spans="1:57">
      <c r="A484">
        <v>1705</v>
      </c>
      <c r="B484" t="s">
        <v>1915</v>
      </c>
      <c r="D484" t="s">
        <v>60</v>
      </c>
      <c r="E484" t="s">
        <v>1916</v>
      </c>
      <c r="F484" t="s">
        <v>1917</v>
      </c>
      <c r="G484">
        <v>297</v>
      </c>
      <c r="H484" t="s">
        <v>63</v>
      </c>
      <c r="I484">
        <v>5</v>
      </c>
      <c r="J484" t="str">
        <f>HYPERLINK("Gene1705-zp_tree_all.dnd", "Gene1705-tree")</f>
        <v>Gene1705-tree</v>
      </c>
      <c r="K484">
        <v>2</v>
      </c>
      <c r="L484">
        <v>3</v>
      </c>
      <c r="M484">
        <v>2</v>
      </c>
      <c r="N484">
        <v>3</v>
      </c>
      <c r="O484">
        <v>0.6</v>
      </c>
      <c r="P484" t="s">
        <v>124</v>
      </c>
      <c r="Q484" t="s">
        <v>86</v>
      </c>
      <c r="R484" t="s">
        <v>66</v>
      </c>
      <c r="S484" t="s">
        <v>66</v>
      </c>
      <c r="T484">
        <v>1</v>
      </c>
      <c r="U484">
        <v>2</v>
      </c>
      <c r="V484">
        <v>5</v>
      </c>
      <c r="W484">
        <v>0.28571000000000002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</v>
      </c>
      <c r="AE484">
        <v>2</v>
      </c>
      <c r="AF484">
        <v>5</v>
      </c>
      <c r="AG484">
        <v>0.28571000000000002</v>
      </c>
      <c r="AH484">
        <v>5</v>
      </c>
      <c r="AI484">
        <v>2</v>
      </c>
      <c r="AJ484">
        <v>12</v>
      </c>
      <c r="AK484">
        <v>4</v>
      </c>
      <c r="AL484">
        <v>28</v>
      </c>
      <c r="AM484">
        <v>3</v>
      </c>
      <c r="AN484" t="s">
        <v>1918</v>
      </c>
      <c r="AO484" t="s">
        <v>1919</v>
      </c>
      <c r="AP484">
        <v>1.0309999999999999</v>
      </c>
      <c r="AQ484" t="s">
        <v>69</v>
      </c>
      <c r="AR484">
        <v>40</v>
      </c>
      <c r="AS484">
        <v>7</v>
      </c>
      <c r="AT484">
        <v>2.75E-2</v>
      </c>
      <c r="AU484">
        <v>-5.3400000000000001E-3</v>
      </c>
      <c r="AV484">
        <v>0.11148</v>
      </c>
      <c r="AW484">
        <v>-2.2800000000000001E-2</v>
      </c>
      <c r="AX484">
        <v>4.5900000000000003E-3</v>
      </c>
      <c r="AY484">
        <v>-8.0000000000000004E-4</v>
      </c>
      <c r="AZ484">
        <v>4.1169999999999998E-2</v>
      </c>
      <c r="BA484">
        <v>1</v>
      </c>
      <c r="BB484" t="s">
        <v>70</v>
      </c>
      <c r="BC484">
        <v>1.012</v>
      </c>
      <c r="BD484">
        <v>0.69799999999999995</v>
      </c>
      <c r="BE484" t="s">
        <v>71</v>
      </c>
    </row>
    <row r="485" spans="1:57">
      <c r="A485">
        <v>1707</v>
      </c>
      <c r="B485" t="s">
        <v>1920</v>
      </c>
      <c r="D485" t="s">
        <v>60</v>
      </c>
      <c r="E485" t="s">
        <v>1921</v>
      </c>
      <c r="F485" t="s">
        <v>1922</v>
      </c>
      <c r="G485">
        <v>346</v>
      </c>
      <c r="H485" t="s">
        <v>63</v>
      </c>
      <c r="I485">
        <v>5</v>
      </c>
      <c r="J485" t="str">
        <f>HYPERLINK("Gene1707-zp_tree_all.dnd", "Gene1707-tree")</f>
        <v>Gene1707-tree</v>
      </c>
      <c r="K485">
        <v>3</v>
      </c>
      <c r="L485">
        <v>2</v>
      </c>
      <c r="M485">
        <v>3</v>
      </c>
      <c r="N485">
        <v>2</v>
      </c>
      <c r="O485">
        <v>0.4</v>
      </c>
      <c r="P485" t="s">
        <v>86</v>
      </c>
      <c r="Q485" t="s">
        <v>124</v>
      </c>
      <c r="R485" t="s">
        <v>66</v>
      </c>
      <c r="S485" t="s">
        <v>66</v>
      </c>
      <c r="T485">
        <v>0</v>
      </c>
      <c r="U485">
        <v>0</v>
      </c>
      <c r="V485">
        <v>8</v>
      </c>
      <c r="W485">
        <v>0</v>
      </c>
      <c r="X485">
        <v>0</v>
      </c>
      <c r="Y485">
        <v>0</v>
      </c>
      <c r="Z485">
        <v>0</v>
      </c>
      <c r="AA485">
        <v>4</v>
      </c>
      <c r="AB485">
        <v>0</v>
      </c>
      <c r="AC485">
        <v>0</v>
      </c>
      <c r="AD485">
        <v>0</v>
      </c>
      <c r="AE485">
        <v>0</v>
      </c>
      <c r="AF485">
        <v>4</v>
      </c>
      <c r="AG485">
        <v>0</v>
      </c>
      <c r="AH485">
        <v>5</v>
      </c>
      <c r="AI485">
        <v>2</v>
      </c>
      <c r="AJ485">
        <v>17</v>
      </c>
      <c r="AK485">
        <v>4</v>
      </c>
      <c r="AL485">
        <v>22</v>
      </c>
      <c r="AM485">
        <v>4</v>
      </c>
      <c r="AN485" t="s">
        <v>1923</v>
      </c>
      <c r="AO485" t="s">
        <v>1924</v>
      </c>
      <c r="AP485">
        <v>0.20699999999999999</v>
      </c>
      <c r="AQ485" t="s">
        <v>69</v>
      </c>
      <c r="AR485">
        <v>39</v>
      </c>
      <c r="AS485">
        <v>8</v>
      </c>
      <c r="AT485">
        <v>2.274E-2</v>
      </c>
      <c r="AU485">
        <v>-4.1200000000000004E-3</v>
      </c>
      <c r="AV485">
        <v>9.0639999999999998E-2</v>
      </c>
      <c r="AW485">
        <v>-1.7409999999999998E-2</v>
      </c>
      <c r="AX485">
        <v>5.0000000000000001E-3</v>
      </c>
      <c r="AY485">
        <v>-9.3999999999999997E-4</v>
      </c>
      <c r="AZ485">
        <v>5.5169999999999997E-2</v>
      </c>
      <c r="BA485">
        <v>1</v>
      </c>
      <c r="BB485" t="s">
        <v>70</v>
      </c>
      <c r="BC485">
        <v>0.69799999999999995</v>
      </c>
      <c r="BD485">
        <v>0.69799999999999995</v>
      </c>
      <c r="BE485" t="s">
        <v>71</v>
      </c>
    </row>
    <row r="486" spans="1:57">
      <c r="A486">
        <v>1709</v>
      </c>
      <c r="B486" t="s">
        <v>1925</v>
      </c>
      <c r="D486" t="s">
        <v>60</v>
      </c>
      <c r="E486" t="s">
        <v>1926</v>
      </c>
      <c r="F486" t="s">
        <v>1927</v>
      </c>
      <c r="G486">
        <v>290</v>
      </c>
      <c r="H486" t="s">
        <v>85</v>
      </c>
      <c r="I486">
        <v>4</v>
      </c>
      <c r="J486" t="str">
        <f>HYPERLINK("Gene1709-zp_tree_all.dnd", "Gene1709-tree")</f>
        <v>Gene1709-tree</v>
      </c>
      <c r="K486">
        <v>2</v>
      </c>
      <c r="L486">
        <v>2</v>
      </c>
      <c r="M486">
        <v>2</v>
      </c>
      <c r="N486">
        <v>2</v>
      </c>
      <c r="O486">
        <v>0.5</v>
      </c>
      <c r="P486" t="s">
        <v>124</v>
      </c>
      <c r="Q486" t="s">
        <v>124</v>
      </c>
      <c r="R486" t="s">
        <v>66</v>
      </c>
      <c r="S486" t="s">
        <v>66</v>
      </c>
      <c r="T486">
        <v>0</v>
      </c>
      <c r="U486">
        <v>0</v>
      </c>
      <c r="V486">
        <v>3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3</v>
      </c>
      <c r="AG486">
        <v>0</v>
      </c>
      <c r="AH486">
        <v>3</v>
      </c>
      <c r="AI486">
        <v>1</v>
      </c>
      <c r="AJ486">
        <v>41</v>
      </c>
      <c r="AK486">
        <v>3</v>
      </c>
      <c r="AL486">
        <v>4</v>
      </c>
      <c r="AM486">
        <v>0</v>
      </c>
      <c r="AN486" t="s">
        <v>1928</v>
      </c>
      <c r="AO486" t="s">
        <v>68</v>
      </c>
      <c r="AP486">
        <v>1.198</v>
      </c>
      <c r="AQ486" t="s">
        <v>69</v>
      </c>
      <c r="AR486">
        <v>45</v>
      </c>
      <c r="AS486">
        <v>3</v>
      </c>
      <c r="AT486">
        <v>2.8160000000000001E-2</v>
      </c>
      <c r="AU486">
        <v>-6.7200000000000003E-3</v>
      </c>
      <c r="AV486">
        <v>0.11726</v>
      </c>
      <c r="AW486">
        <v>-2.92E-2</v>
      </c>
      <c r="AX486">
        <v>2.3E-3</v>
      </c>
      <c r="AY486">
        <v>-5.9999999999999995E-4</v>
      </c>
      <c r="AZ486">
        <v>1.9650000000000001E-2</v>
      </c>
      <c r="BA486">
        <v>1</v>
      </c>
      <c r="BB486" t="s">
        <v>70</v>
      </c>
      <c r="BC486">
        <v>-0.46100000000000002</v>
      </c>
      <c r="BD486">
        <v>-0.66400000000000003</v>
      </c>
      <c r="BE486" t="s">
        <v>71</v>
      </c>
    </row>
    <row r="487" spans="1:57">
      <c r="A487">
        <v>1710</v>
      </c>
      <c r="B487" t="s">
        <v>1929</v>
      </c>
      <c r="D487" t="s">
        <v>60</v>
      </c>
      <c r="E487" t="s">
        <v>1930</v>
      </c>
      <c r="F487" t="s">
        <v>1931</v>
      </c>
      <c r="G487">
        <v>555</v>
      </c>
      <c r="H487" t="s">
        <v>63</v>
      </c>
      <c r="I487">
        <v>5</v>
      </c>
      <c r="J487" t="str">
        <f>HYPERLINK("Gene1710-zp_tree_all.dnd", "Gene1710-tree")</f>
        <v>Gene1710-tree</v>
      </c>
      <c r="K487">
        <v>3</v>
      </c>
      <c r="L487">
        <v>2</v>
      </c>
      <c r="M487">
        <v>3</v>
      </c>
      <c r="N487">
        <v>2</v>
      </c>
      <c r="O487">
        <v>0.4</v>
      </c>
      <c r="P487" t="s">
        <v>86</v>
      </c>
      <c r="Q487" t="s">
        <v>124</v>
      </c>
      <c r="R487" t="s">
        <v>66</v>
      </c>
      <c r="S487" t="s">
        <v>66</v>
      </c>
      <c r="T487">
        <v>1</v>
      </c>
      <c r="U487">
        <v>2</v>
      </c>
      <c r="V487">
        <v>4</v>
      </c>
      <c r="W487">
        <v>0.33333000000000002</v>
      </c>
      <c r="X487">
        <v>0</v>
      </c>
      <c r="Y487">
        <v>0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5</v>
      </c>
      <c r="AG487">
        <v>0</v>
      </c>
      <c r="AH487">
        <v>5</v>
      </c>
      <c r="AI487">
        <v>2</v>
      </c>
      <c r="AJ487">
        <v>36</v>
      </c>
      <c r="AK487">
        <v>2</v>
      </c>
      <c r="AL487">
        <v>59</v>
      </c>
      <c r="AM487">
        <v>5</v>
      </c>
      <c r="AN487" t="s">
        <v>1932</v>
      </c>
      <c r="AO487" t="s">
        <v>1933</v>
      </c>
      <c r="AP487">
        <v>0.32400000000000001</v>
      </c>
      <c r="AQ487" t="s">
        <v>69</v>
      </c>
      <c r="AR487">
        <v>95</v>
      </c>
      <c r="AS487">
        <v>7</v>
      </c>
      <c r="AT487">
        <v>3.177E-2</v>
      </c>
      <c r="AU487">
        <v>-5.5599999999999998E-3</v>
      </c>
      <c r="AV487">
        <v>0.14127000000000001</v>
      </c>
      <c r="AW487">
        <v>-2.5600000000000001E-2</v>
      </c>
      <c r="AX487">
        <v>2.99E-3</v>
      </c>
      <c r="AY487">
        <v>-5.9000000000000003E-4</v>
      </c>
      <c r="AZ487">
        <v>2.12E-2</v>
      </c>
      <c r="BA487">
        <v>1</v>
      </c>
      <c r="BB487" t="s">
        <v>70</v>
      </c>
      <c r="BC487">
        <v>0.77600000000000002</v>
      </c>
      <c r="BD487">
        <v>0.69699999999999995</v>
      </c>
      <c r="BE487" t="s">
        <v>71</v>
      </c>
    </row>
    <row r="488" spans="1:57">
      <c r="A488">
        <v>1714</v>
      </c>
      <c r="B488" t="s">
        <v>1934</v>
      </c>
      <c r="D488" t="s">
        <v>60</v>
      </c>
      <c r="E488" t="s">
        <v>1935</v>
      </c>
      <c r="F488" t="s">
        <v>546</v>
      </c>
      <c r="G488">
        <v>241</v>
      </c>
      <c r="H488" t="s">
        <v>106</v>
      </c>
      <c r="I488">
        <v>4</v>
      </c>
      <c r="J488" t="str">
        <f>HYPERLINK("Gene1714-zp_tree_all.dnd", "Gene1714-tree")</f>
        <v>Gene1714-tree</v>
      </c>
      <c r="K488">
        <v>3</v>
      </c>
      <c r="L488">
        <v>1</v>
      </c>
      <c r="M488">
        <v>3</v>
      </c>
      <c r="N488">
        <v>1</v>
      </c>
      <c r="O488">
        <v>0.25</v>
      </c>
      <c r="P488" t="s">
        <v>86</v>
      </c>
      <c r="Q488" t="s">
        <v>65</v>
      </c>
      <c r="R488" t="s">
        <v>66</v>
      </c>
      <c r="S488" t="s">
        <v>66</v>
      </c>
      <c r="T488">
        <v>0</v>
      </c>
      <c r="U488">
        <v>0</v>
      </c>
      <c r="V488">
        <v>5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5</v>
      </c>
      <c r="AG488">
        <v>0</v>
      </c>
      <c r="AH488">
        <v>4</v>
      </c>
      <c r="AI488">
        <v>1</v>
      </c>
      <c r="AJ488">
        <v>33</v>
      </c>
      <c r="AK488">
        <v>5</v>
      </c>
      <c r="AL488">
        <v>2</v>
      </c>
      <c r="AM488">
        <v>0</v>
      </c>
      <c r="AN488" t="s">
        <v>1936</v>
      </c>
      <c r="AO488" t="s">
        <v>68</v>
      </c>
      <c r="AP488">
        <v>0.44700000000000001</v>
      </c>
      <c r="AQ488" t="s">
        <v>69</v>
      </c>
      <c r="AR488">
        <v>35</v>
      </c>
      <c r="AS488">
        <v>5</v>
      </c>
      <c r="AT488">
        <v>2.8119999999999999E-2</v>
      </c>
      <c r="AU488">
        <v>-7.7400000000000004E-3</v>
      </c>
      <c r="AV488">
        <v>0.12375</v>
      </c>
      <c r="AW488">
        <v>-3.3329999999999999E-2</v>
      </c>
      <c r="AX488">
        <v>4.4799999999999996E-3</v>
      </c>
      <c r="AY488">
        <v>-1.83E-3</v>
      </c>
      <c r="AZ488">
        <v>3.6200000000000003E-2</v>
      </c>
      <c r="BA488">
        <v>1</v>
      </c>
      <c r="BB488" t="s">
        <v>70</v>
      </c>
      <c r="BC488">
        <v>-0.70699999999999996</v>
      </c>
      <c r="BD488">
        <v>-0.70699999999999996</v>
      </c>
      <c r="BE488" t="s">
        <v>71</v>
      </c>
    </row>
    <row r="489" spans="1:57">
      <c r="A489">
        <v>1717</v>
      </c>
      <c r="B489" t="s">
        <v>1937</v>
      </c>
      <c r="D489" t="s">
        <v>60</v>
      </c>
      <c r="E489" t="s">
        <v>1938</v>
      </c>
      <c r="F489" t="s">
        <v>1939</v>
      </c>
      <c r="G489">
        <v>428</v>
      </c>
      <c r="H489" t="s">
        <v>85</v>
      </c>
      <c r="I489">
        <v>4</v>
      </c>
      <c r="J489" t="str">
        <f>HYPERLINK("Gene1717-zp_tree_all.dnd", "Gene1717-tree")</f>
        <v>Gene1717-tree</v>
      </c>
      <c r="K489">
        <v>2</v>
      </c>
      <c r="L489">
        <v>2</v>
      </c>
      <c r="M489">
        <v>2</v>
      </c>
      <c r="N489">
        <v>2</v>
      </c>
      <c r="O489">
        <v>0.5</v>
      </c>
      <c r="P489" t="s">
        <v>124</v>
      </c>
      <c r="Q489" t="s">
        <v>124</v>
      </c>
      <c r="R489" t="s">
        <v>66</v>
      </c>
      <c r="S489" t="s">
        <v>66</v>
      </c>
      <c r="T489">
        <v>0</v>
      </c>
      <c r="U489">
        <v>0</v>
      </c>
      <c r="V489">
        <v>7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7</v>
      </c>
      <c r="AG489">
        <v>0</v>
      </c>
      <c r="AH489">
        <v>4</v>
      </c>
      <c r="AI489">
        <v>1</v>
      </c>
      <c r="AJ489">
        <v>65</v>
      </c>
      <c r="AK489">
        <v>7</v>
      </c>
      <c r="AL489">
        <v>9</v>
      </c>
      <c r="AM489">
        <v>0</v>
      </c>
      <c r="AN489" t="s">
        <v>1940</v>
      </c>
      <c r="AO489" t="s">
        <v>68</v>
      </c>
      <c r="AP489">
        <v>0.59799999999999998</v>
      </c>
      <c r="AQ489" t="s">
        <v>69</v>
      </c>
      <c r="AR489">
        <v>74</v>
      </c>
      <c r="AS489">
        <v>7</v>
      </c>
      <c r="AT489">
        <v>3.193E-2</v>
      </c>
      <c r="AU489">
        <v>-7.6600000000000001E-3</v>
      </c>
      <c r="AV489">
        <v>0.15268000000000001</v>
      </c>
      <c r="AW489">
        <v>-3.764E-2</v>
      </c>
      <c r="AX489">
        <v>3.5000000000000001E-3</v>
      </c>
      <c r="AY489">
        <v>-1.17E-3</v>
      </c>
      <c r="AZ489">
        <v>2.2939999999999999E-2</v>
      </c>
      <c r="BA489">
        <v>1</v>
      </c>
      <c r="BB489" t="s">
        <v>70</v>
      </c>
      <c r="BC489">
        <v>-0.379</v>
      </c>
      <c r="BD489">
        <v>-0.625</v>
      </c>
      <c r="BE489" t="s">
        <v>71</v>
      </c>
    </row>
    <row r="490" spans="1:57">
      <c r="A490">
        <v>1719</v>
      </c>
      <c r="B490" t="s">
        <v>1941</v>
      </c>
      <c r="D490" t="s">
        <v>60</v>
      </c>
      <c r="E490" t="s">
        <v>1942</v>
      </c>
      <c r="F490" t="s">
        <v>74</v>
      </c>
      <c r="G490">
        <v>85</v>
      </c>
      <c r="H490" t="s">
        <v>63</v>
      </c>
      <c r="I490">
        <v>5</v>
      </c>
      <c r="J490" t="str">
        <f>HYPERLINK("Gene1719-zp_tree_all.dnd", "Gene1719-tree")</f>
        <v>Gene1719-tree</v>
      </c>
      <c r="K490">
        <v>5</v>
      </c>
      <c r="L490">
        <v>0</v>
      </c>
      <c r="M490">
        <v>4</v>
      </c>
      <c r="N490">
        <v>0</v>
      </c>
      <c r="O490">
        <v>0</v>
      </c>
      <c r="P490" t="s">
        <v>135</v>
      </c>
      <c r="Q490" t="s">
        <v>66</v>
      </c>
      <c r="R490" t="s">
        <v>66</v>
      </c>
      <c r="S490" t="s">
        <v>66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2</v>
      </c>
      <c r="AI490">
        <v>1</v>
      </c>
      <c r="AJ490">
        <v>3</v>
      </c>
      <c r="AK490">
        <v>0</v>
      </c>
      <c r="AL490">
        <v>2</v>
      </c>
      <c r="AM490">
        <v>1</v>
      </c>
      <c r="AN490" t="s">
        <v>68</v>
      </c>
      <c r="AO490" t="s">
        <v>1943</v>
      </c>
      <c r="AP490">
        <v>0</v>
      </c>
      <c r="AQ490" t="s">
        <v>69</v>
      </c>
      <c r="AR490">
        <v>5</v>
      </c>
      <c r="AS490">
        <v>1</v>
      </c>
      <c r="AT490">
        <v>1.3729999999999999E-2</v>
      </c>
      <c r="AU490">
        <v>-2.7299999999999998E-3</v>
      </c>
      <c r="AV490">
        <v>5.9909999999999998E-2</v>
      </c>
      <c r="AW490">
        <v>-1.204E-2</v>
      </c>
      <c r="AX490">
        <v>3.2599999999999999E-3</v>
      </c>
      <c r="AY490">
        <v>-7.6999999999999996E-4</v>
      </c>
      <c r="AZ490">
        <v>5.4370000000000002E-2</v>
      </c>
      <c r="BA490">
        <v>1</v>
      </c>
      <c r="BB490" t="s">
        <v>70</v>
      </c>
      <c r="BC490">
        <v>0.28599999999999998</v>
      </c>
      <c r="BD490">
        <v>0.28599999999999998</v>
      </c>
      <c r="BE490" t="s">
        <v>71</v>
      </c>
    </row>
    <row r="491" spans="1:57">
      <c r="A491">
        <v>1723</v>
      </c>
      <c r="B491" t="s">
        <v>1944</v>
      </c>
      <c r="D491" t="s">
        <v>60</v>
      </c>
      <c r="E491" t="s">
        <v>1945</v>
      </c>
      <c r="F491" t="s">
        <v>1946</v>
      </c>
      <c r="G491">
        <v>348</v>
      </c>
      <c r="H491" t="s">
        <v>63</v>
      </c>
      <c r="I491">
        <v>5</v>
      </c>
      <c r="J491" t="str">
        <f>HYPERLINK("Gene1723-zp_tree_all.dnd", "Gene1723-tree")</f>
        <v>Gene1723-tree</v>
      </c>
      <c r="K491">
        <v>3</v>
      </c>
      <c r="L491">
        <v>2</v>
      </c>
      <c r="M491">
        <v>3</v>
      </c>
      <c r="N491">
        <v>2</v>
      </c>
      <c r="O491">
        <v>0.4</v>
      </c>
      <c r="P491" t="s">
        <v>86</v>
      </c>
      <c r="Q491" t="s">
        <v>124</v>
      </c>
      <c r="R491" t="s">
        <v>66</v>
      </c>
      <c r="S491" t="s">
        <v>66</v>
      </c>
      <c r="T491">
        <v>0</v>
      </c>
      <c r="U491">
        <v>0</v>
      </c>
      <c r="V491">
        <v>5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5</v>
      </c>
      <c r="AG491">
        <v>0</v>
      </c>
      <c r="AH491">
        <v>5</v>
      </c>
      <c r="AI491">
        <v>2</v>
      </c>
      <c r="AJ491">
        <v>27</v>
      </c>
      <c r="AK491">
        <v>2</v>
      </c>
      <c r="AL491">
        <v>20</v>
      </c>
      <c r="AM491">
        <v>3</v>
      </c>
      <c r="AN491" t="s">
        <v>1947</v>
      </c>
      <c r="AO491" t="s">
        <v>1948</v>
      </c>
      <c r="AP491">
        <v>0.36399999999999999</v>
      </c>
      <c r="AQ491" t="s">
        <v>69</v>
      </c>
      <c r="AR491">
        <v>47</v>
      </c>
      <c r="AS491">
        <v>5</v>
      </c>
      <c r="AT491">
        <v>2.366E-2</v>
      </c>
      <c r="AU491">
        <v>-3.6600000000000001E-3</v>
      </c>
      <c r="AV491">
        <v>9.887E-2</v>
      </c>
      <c r="AW491">
        <v>-1.5169999999999999E-2</v>
      </c>
      <c r="AX491">
        <v>3.2499999999999999E-3</v>
      </c>
      <c r="AY491">
        <v>-7.1000000000000002E-4</v>
      </c>
      <c r="AZ491">
        <v>3.2899999999999999E-2</v>
      </c>
      <c r="BA491">
        <v>1</v>
      </c>
      <c r="BB491" t="s">
        <v>70</v>
      </c>
      <c r="BC491">
        <v>0.22</v>
      </c>
      <c r="BD491">
        <v>6.3E-2</v>
      </c>
      <c r="BE491" t="s">
        <v>71</v>
      </c>
    </row>
    <row r="492" spans="1:57">
      <c r="A492">
        <v>1725</v>
      </c>
      <c r="B492" t="s">
        <v>1949</v>
      </c>
      <c r="D492" t="s">
        <v>60</v>
      </c>
      <c r="E492" t="s">
        <v>1950</v>
      </c>
      <c r="F492" t="s">
        <v>1951</v>
      </c>
      <c r="G492">
        <v>520</v>
      </c>
      <c r="H492" t="s">
        <v>63</v>
      </c>
      <c r="I492">
        <v>5</v>
      </c>
      <c r="J492" t="str">
        <f>HYPERLINK("Gene1725-zp_tree_all.dnd", "Gene1725-tree")</f>
        <v>Gene1725-tree</v>
      </c>
      <c r="K492">
        <v>5</v>
      </c>
      <c r="L492">
        <v>0</v>
      </c>
      <c r="M492">
        <v>5</v>
      </c>
      <c r="N492">
        <v>0</v>
      </c>
      <c r="O492">
        <v>0</v>
      </c>
      <c r="P492" t="s">
        <v>96</v>
      </c>
      <c r="Q492" t="s">
        <v>66</v>
      </c>
      <c r="R492" t="s">
        <v>66</v>
      </c>
      <c r="S492" t="s">
        <v>66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4</v>
      </c>
      <c r="AI492">
        <v>1</v>
      </c>
      <c r="AJ492">
        <v>20</v>
      </c>
      <c r="AK492">
        <v>0</v>
      </c>
      <c r="AL492">
        <v>13</v>
      </c>
      <c r="AM492">
        <v>0</v>
      </c>
      <c r="AN492" t="s">
        <v>68</v>
      </c>
      <c r="AO492" t="s">
        <v>68</v>
      </c>
      <c r="AP492">
        <v>0</v>
      </c>
      <c r="AQ492" t="s">
        <v>69</v>
      </c>
      <c r="AR492">
        <v>33</v>
      </c>
      <c r="AS492">
        <v>0</v>
      </c>
      <c r="AT492">
        <v>0.01</v>
      </c>
      <c r="AU492">
        <v>-1.5399999999999999E-3</v>
      </c>
      <c r="AV492">
        <v>4.5409999999999999E-2</v>
      </c>
      <c r="AW492">
        <v>-7.1599999999999997E-3</v>
      </c>
      <c r="AX492">
        <v>0</v>
      </c>
      <c r="AY492">
        <v>0</v>
      </c>
      <c r="AZ492">
        <v>0</v>
      </c>
      <c r="BA492">
        <v>1</v>
      </c>
      <c r="BB492" t="s">
        <v>70</v>
      </c>
      <c r="BC492">
        <v>0.11700000000000001</v>
      </c>
      <c r="BD492">
        <v>0.11700000000000001</v>
      </c>
      <c r="BE492" t="s">
        <v>71</v>
      </c>
    </row>
    <row r="493" spans="1:57">
      <c r="A493">
        <v>1727</v>
      </c>
      <c r="B493" t="s">
        <v>1952</v>
      </c>
      <c r="D493" t="s">
        <v>60</v>
      </c>
      <c r="E493" t="s">
        <v>1953</v>
      </c>
      <c r="F493" t="s">
        <v>1954</v>
      </c>
      <c r="G493">
        <v>86</v>
      </c>
      <c r="H493" t="s">
        <v>63</v>
      </c>
      <c r="I493">
        <v>5</v>
      </c>
      <c r="J493" t="str">
        <f>HYPERLINK("Gene1727-zp_tree_all.dnd", "Gene1727-tree")</f>
        <v>Gene1727-tree</v>
      </c>
      <c r="K493">
        <v>5</v>
      </c>
      <c r="L493">
        <v>0</v>
      </c>
      <c r="M493">
        <v>4</v>
      </c>
      <c r="N493">
        <v>0</v>
      </c>
      <c r="O493">
        <v>0</v>
      </c>
      <c r="P493" t="s">
        <v>135</v>
      </c>
      <c r="Q493" t="s">
        <v>66</v>
      </c>
      <c r="R493" t="s">
        <v>66</v>
      </c>
      <c r="S493" t="s">
        <v>66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3</v>
      </c>
      <c r="AI493">
        <v>1</v>
      </c>
      <c r="AJ493">
        <v>4</v>
      </c>
      <c r="AK493">
        <v>0</v>
      </c>
      <c r="AL493">
        <v>7</v>
      </c>
      <c r="AM493">
        <v>0</v>
      </c>
      <c r="AN493" t="s">
        <v>68</v>
      </c>
      <c r="AO493" t="s">
        <v>68</v>
      </c>
      <c r="AP493">
        <v>0</v>
      </c>
      <c r="AQ493" t="s">
        <v>69</v>
      </c>
      <c r="AR493">
        <v>11</v>
      </c>
      <c r="AS493">
        <v>0</v>
      </c>
      <c r="AT493">
        <v>2.614E-2</v>
      </c>
      <c r="AU493">
        <v>-5.4400000000000004E-3</v>
      </c>
      <c r="AV493">
        <v>0.1173</v>
      </c>
      <c r="AW493">
        <v>-2.5139999999999999E-2</v>
      </c>
      <c r="AX493">
        <v>0</v>
      </c>
      <c r="AY493">
        <v>0</v>
      </c>
      <c r="AZ493">
        <v>0</v>
      </c>
      <c r="BA493">
        <v>1</v>
      </c>
      <c r="BB493" t="s">
        <v>70</v>
      </c>
      <c r="BC493">
        <v>0.98099999999999998</v>
      </c>
      <c r="BD493">
        <v>0.98099999999999998</v>
      </c>
      <c r="BE493" t="s">
        <v>71</v>
      </c>
    </row>
    <row r="494" spans="1:57">
      <c r="A494">
        <v>1730</v>
      </c>
      <c r="B494" t="s">
        <v>1955</v>
      </c>
      <c r="D494" t="s">
        <v>60</v>
      </c>
      <c r="E494" t="s">
        <v>1956</v>
      </c>
      <c r="F494" t="s">
        <v>1957</v>
      </c>
      <c r="G494">
        <v>509</v>
      </c>
      <c r="H494" t="s">
        <v>63</v>
      </c>
      <c r="I494">
        <v>5</v>
      </c>
      <c r="J494" t="str">
        <f>HYPERLINK("Gene1730-zp_tree_all.dnd", "Gene1730-tree")</f>
        <v>Gene1730-tree</v>
      </c>
      <c r="K494">
        <v>3</v>
      </c>
      <c r="L494">
        <v>2</v>
      </c>
      <c r="M494">
        <v>3</v>
      </c>
      <c r="N494">
        <v>2</v>
      </c>
      <c r="O494">
        <v>0.4</v>
      </c>
      <c r="P494" t="s">
        <v>86</v>
      </c>
      <c r="Q494" t="s">
        <v>124</v>
      </c>
      <c r="R494" t="s">
        <v>66</v>
      </c>
      <c r="S494" t="s">
        <v>66</v>
      </c>
      <c r="T494">
        <v>1</v>
      </c>
      <c r="U494">
        <v>2</v>
      </c>
      <c r="V494">
        <v>3</v>
      </c>
      <c r="W494">
        <v>0.4</v>
      </c>
      <c r="X494">
        <v>0</v>
      </c>
      <c r="Y494">
        <v>0</v>
      </c>
      <c r="Z494">
        <v>0</v>
      </c>
      <c r="AA494">
        <v>3</v>
      </c>
      <c r="AB494">
        <v>0</v>
      </c>
      <c r="AC494">
        <v>0</v>
      </c>
      <c r="AD494">
        <v>0</v>
      </c>
      <c r="AE494">
        <v>0</v>
      </c>
      <c r="AF494">
        <v>2</v>
      </c>
      <c r="AG494">
        <v>0</v>
      </c>
      <c r="AH494">
        <v>5</v>
      </c>
      <c r="AI494">
        <v>2</v>
      </c>
      <c r="AJ494">
        <v>45</v>
      </c>
      <c r="AK494">
        <v>2</v>
      </c>
      <c r="AL494">
        <v>42</v>
      </c>
      <c r="AM494">
        <v>3</v>
      </c>
      <c r="AN494" t="s">
        <v>1958</v>
      </c>
      <c r="AO494" t="s">
        <v>1959</v>
      </c>
      <c r="AP494">
        <v>0.46300000000000002</v>
      </c>
      <c r="AQ494" t="s">
        <v>69</v>
      </c>
      <c r="AR494">
        <v>87</v>
      </c>
      <c r="AS494">
        <v>5</v>
      </c>
      <c r="AT494">
        <v>2.8490000000000001E-2</v>
      </c>
      <c r="AU494">
        <v>-4.2399999999999998E-3</v>
      </c>
      <c r="AV494">
        <v>0.13644999999999999</v>
      </c>
      <c r="AW494">
        <v>-2.1729999999999999E-2</v>
      </c>
      <c r="AX494">
        <v>2.1900000000000001E-3</v>
      </c>
      <c r="AY494">
        <v>-2.3000000000000001E-4</v>
      </c>
      <c r="AZ494">
        <v>1.601E-2</v>
      </c>
      <c r="BA494">
        <v>1</v>
      </c>
      <c r="BB494" t="s">
        <v>70</v>
      </c>
      <c r="BC494">
        <v>0.502</v>
      </c>
      <c r="BD494">
        <v>0.33500000000000002</v>
      </c>
      <c r="BE494" t="s">
        <v>71</v>
      </c>
    </row>
    <row r="495" spans="1:57">
      <c r="A495">
        <v>1731</v>
      </c>
      <c r="B495" t="s">
        <v>1960</v>
      </c>
      <c r="D495" t="s">
        <v>60</v>
      </c>
      <c r="E495" t="s">
        <v>1961</v>
      </c>
      <c r="F495" t="s">
        <v>74</v>
      </c>
      <c r="G495">
        <v>143</v>
      </c>
      <c r="H495" t="s">
        <v>63</v>
      </c>
      <c r="I495">
        <v>5</v>
      </c>
      <c r="J495" t="str">
        <f>HYPERLINK("Gene1731-zp_tree_all.dnd", "Gene1731-tree")</f>
        <v>Gene1731-tree</v>
      </c>
      <c r="K495">
        <v>5</v>
      </c>
      <c r="L495">
        <v>0</v>
      </c>
      <c r="M495">
        <v>5</v>
      </c>
      <c r="N495">
        <v>0</v>
      </c>
      <c r="O495">
        <v>0</v>
      </c>
      <c r="P495" t="s">
        <v>96</v>
      </c>
      <c r="Q495" t="s">
        <v>66</v>
      </c>
      <c r="R495" t="s">
        <v>66</v>
      </c>
      <c r="S495" t="s">
        <v>66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4</v>
      </c>
      <c r="AI495">
        <v>2</v>
      </c>
      <c r="AJ495">
        <v>10</v>
      </c>
      <c r="AK495">
        <v>0</v>
      </c>
      <c r="AL495">
        <v>9</v>
      </c>
      <c r="AM495">
        <v>0</v>
      </c>
      <c r="AN495" t="s">
        <v>68</v>
      </c>
      <c r="AO495" t="s">
        <v>68</v>
      </c>
      <c r="AP495">
        <v>0</v>
      </c>
      <c r="AQ495" t="s">
        <v>69</v>
      </c>
      <c r="AR495">
        <v>19</v>
      </c>
      <c r="AS495">
        <v>0</v>
      </c>
      <c r="AT495">
        <v>2.2069999999999999E-2</v>
      </c>
      <c r="AU495">
        <v>-3.62E-3</v>
      </c>
      <c r="AV495">
        <v>0.11258</v>
      </c>
      <c r="AW495">
        <v>-1.9199999999999998E-2</v>
      </c>
      <c r="AX495">
        <v>0</v>
      </c>
      <c r="AY495">
        <v>0</v>
      </c>
      <c r="AZ495">
        <v>0</v>
      </c>
      <c r="BA495">
        <v>1</v>
      </c>
      <c r="BB495" t="s">
        <v>70</v>
      </c>
      <c r="BC495">
        <v>0.22700000000000001</v>
      </c>
      <c r="BD495">
        <v>0.22700000000000001</v>
      </c>
      <c r="BE495" t="s">
        <v>71</v>
      </c>
    </row>
    <row r="496" spans="1:57">
      <c r="A496">
        <v>1765</v>
      </c>
      <c r="B496" t="s">
        <v>1965</v>
      </c>
      <c r="D496" t="s">
        <v>60</v>
      </c>
      <c r="E496" t="s">
        <v>1966</v>
      </c>
      <c r="F496" t="s">
        <v>74</v>
      </c>
      <c r="G496">
        <v>76</v>
      </c>
      <c r="H496" t="s">
        <v>63</v>
      </c>
      <c r="I496">
        <v>5</v>
      </c>
      <c r="J496" t="str">
        <f>HYPERLINK("Gene1765-zp_tree_all.dnd", "Gene1765-tree")</f>
        <v>Gene1765-tree</v>
      </c>
      <c r="K496">
        <v>5</v>
      </c>
      <c r="L496">
        <v>0</v>
      </c>
      <c r="M496">
        <v>4</v>
      </c>
      <c r="N496">
        <v>0</v>
      </c>
      <c r="O496">
        <v>0</v>
      </c>
      <c r="P496" t="s">
        <v>135</v>
      </c>
      <c r="Q496" t="s">
        <v>66</v>
      </c>
      <c r="R496" t="s">
        <v>66</v>
      </c>
      <c r="S496" t="s">
        <v>66</v>
      </c>
      <c r="T496">
        <v>0</v>
      </c>
      <c r="U496">
        <v>0</v>
      </c>
      <c r="V496">
        <v>2</v>
      </c>
      <c r="W496">
        <v>0</v>
      </c>
      <c r="X496">
        <v>0</v>
      </c>
      <c r="Y496">
        <v>0</v>
      </c>
      <c r="Z496">
        <v>0</v>
      </c>
      <c r="AA496">
        <v>2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2</v>
      </c>
      <c r="AI496">
        <v>1</v>
      </c>
      <c r="AJ496">
        <v>3</v>
      </c>
      <c r="AK496">
        <v>0</v>
      </c>
      <c r="AL496">
        <v>2</v>
      </c>
      <c r="AM496">
        <v>2</v>
      </c>
      <c r="AN496" t="s">
        <v>68</v>
      </c>
      <c r="AO496" t="s">
        <v>1967</v>
      </c>
      <c r="AP496">
        <v>0</v>
      </c>
      <c r="AQ496" t="s">
        <v>69</v>
      </c>
      <c r="AR496">
        <v>5</v>
      </c>
      <c r="AS496">
        <v>2</v>
      </c>
      <c r="AT496">
        <v>1.8270000000000002E-2</v>
      </c>
      <c r="AU496">
        <v>-3.79E-3</v>
      </c>
      <c r="AV496">
        <v>6.7269999999999996E-2</v>
      </c>
      <c r="AW496">
        <v>-1.358E-2</v>
      </c>
      <c r="AX496">
        <v>7.3200000000000001E-3</v>
      </c>
      <c r="AY496">
        <v>-1.73E-3</v>
      </c>
      <c r="AZ496">
        <v>0.10881</v>
      </c>
      <c r="BA496">
        <v>1</v>
      </c>
      <c r="BB496" t="s">
        <v>70</v>
      </c>
      <c r="BC496">
        <v>0.91300000000000003</v>
      </c>
      <c r="BD496">
        <v>0.91300000000000003</v>
      </c>
      <c r="BE496" t="s">
        <v>71</v>
      </c>
    </row>
    <row r="497" spans="1:57">
      <c r="A497">
        <v>1766</v>
      </c>
      <c r="B497" t="s">
        <v>1968</v>
      </c>
      <c r="D497" t="s">
        <v>60</v>
      </c>
      <c r="E497" t="s">
        <v>1969</v>
      </c>
      <c r="F497" t="s">
        <v>1970</v>
      </c>
      <c r="G497">
        <v>130</v>
      </c>
      <c r="H497" t="s">
        <v>63</v>
      </c>
      <c r="I497">
        <v>5</v>
      </c>
      <c r="J497" t="str">
        <f>HYPERLINK("Gene1766-zp_tree_all.dnd", "Gene1766-tree")</f>
        <v>Gene1766-tree</v>
      </c>
      <c r="K497">
        <v>4</v>
      </c>
      <c r="L497">
        <v>1</v>
      </c>
      <c r="M497">
        <v>4</v>
      </c>
      <c r="N497">
        <v>1</v>
      </c>
      <c r="O497">
        <v>0.2</v>
      </c>
      <c r="P497" t="s">
        <v>64</v>
      </c>
      <c r="Q497" t="s">
        <v>65</v>
      </c>
      <c r="R497" t="s">
        <v>66</v>
      </c>
      <c r="S497" t="s">
        <v>66</v>
      </c>
      <c r="T497">
        <v>1</v>
      </c>
      <c r="U497">
        <v>2</v>
      </c>
      <c r="V497">
        <v>2</v>
      </c>
      <c r="W497">
        <v>0.5</v>
      </c>
      <c r="X497">
        <v>0</v>
      </c>
      <c r="Y497">
        <v>2</v>
      </c>
      <c r="Z497">
        <v>2</v>
      </c>
      <c r="AA497">
        <v>1</v>
      </c>
      <c r="AB497">
        <v>0.66666999999999998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4</v>
      </c>
      <c r="AI497">
        <v>2</v>
      </c>
      <c r="AJ497">
        <v>5</v>
      </c>
      <c r="AK497">
        <v>1</v>
      </c>
      <c r="AL497">
        <v>4</v>
      </c>
      <c r="AM497">
        <v>3</v>
      </c>
      <c r="AN497" t="s">
        <v>1971</v>
      </c>
      <c r="AO497" t="s">
        <v>1972</v>
      </c>
      <c r="AP497">
        <v>1.482</v>
      </c>
      <c r="AQ497" t="s">
        <v>69</v>
      </c>
      <c r="AR497">
        <v>9</v>
      </c>
      <c r="AS497">
        <v>4</v>
      </c>
      <c r="AT497">
        <v>1.5129999999999999E-2</v>
      </c>
      <c r="AU497">
        <v>-1.8600000000000001E-3</v>
      </c>
      <c r="AV497">
        <v>4.9250000000000002E-2</v>
      </c>
      <c r="AW497">
        <v>-6.3600000000000002E-3</v>
      </c>
      <c r="AX497">
        <v>5.96E-3</v>
      </c>
      <c r="AY497">
        <v>-9.1E-4</v>
      </c>
      <c r="AZ497">
        <v>0.12099</v>
      </c>
      <c r="BA497">
        <v>1</v>
      </c>
      <c r="BB497" t="s">
        <v>70</v>
      </c>
      <c r="BC497">
        <v>0.84499999999999997</v>
      </c>
      <c r="BD497">
        <v>-0.38200000000000001</v>
      </c>
      <c r="BE497" t="s">
        <v>71</v>
      </c>
    </row>
    <row r="498" spans="1:57">
      <c r="A498">
        <v>1767</v>
      </c>
      <c r="B498" t="s">
        <v>1973</v>
      </c>
      <c r="D498" t="s">
        <v>60</v>
      </c>
      <c r="E498" t="s">
        <v>1974</v>
      </c>
      <c r="F498" t="s">
        <v>1975</v>
      </c>
      <c r="G498">
        <v>700</v>
      </c>
      <c r="H498" t="s">
        <v>85</v>
      </c>
      <c r="I498">
        <v>4</v>
      </c>
      <c r="J498" t="str">
        <f>HYPERLINK("Gene1767-zp_tree_all.dnd", "Gene1767-tree")</f>
        <v>Gene1767-tree</v>
      </c>
      <c r="K498">
        <v>1</v>
      </c>
      <c r="L498">
        <v>3</v>
      </c>
      <c r="M498">
        <v>1</v>
      </c>
      <c r="N498">
        <v>3</v>
      </c>
      <c r="O498">
        <v>0.75</v>
      </c>
      <c r="P498" t="s">
        <v>65</v>
      </c>
      <c r="Q498" t="s">
        <v>86</v>
      </c>
      <c r="R498" t="s">
        <v>66</v>
      </c>
      <c r="S498" t="s">
        <v>66</v>
      </c>
      <c r="T498">
        <v>0</v>
      </c>
      <c r="U498">
        <v>0</v>
      </c>
      <c r="V498">
        <v>9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9</v>
      </c>
      <c r="AG498">
        <v>0</v>
      </c>
      <c r="AH498">
        <v>4</v>
      </c>
      <c r="AI498">
        <v>1</v>
      </c>
      <c r="AJ498">
        <v>117</v>
      </c>
      <c r="AK498">
        <v>6</v>
      </c>
      <c r="AL498">
        <v>15</v>
      </c>
      <c r="AM498">
        <v>3</v>
      </c>
      <c r="AN498" t="s">
        <v>1976</v>
      </c>
      <c r="AO498" t="s">
        <v>1977</v>
      </c>
      <c r="AP498">
        <v>4.9340000000000002</v>
      </c>
      <c r="AQ498" t="s">
        <v>69</v>
      </c>
      <c r="AR498">
        <v>132</v>
      </c>
      <c r="AS498">
        <v>9</v>
      </c>
      <c r="AT498">
        <v>3.1189999999999999E-2</v>
      </c>
      <c r="AU498">
        <v>-3.2799999999999999E-3</v>
      </c>
      <c r="AV498">
        <v>0.14656</v>
      </c>
      <c r="AW498">
        <v>-1.617E-2</v>
      </c>
      <c r="AX498">
        <v>3.0500000000000002E-3</v>
      </c>
      <c r="AY498">
        <v>-5.5999999999999995E-4</v>
      </c>
      <c r="AZ498">
        <v>2.0820000000000002E-2</v>
      </c>
      <c r="BA498">
        <v>1</v>
      </c>
      <c r="BB498" t="s">
        <v>70</v>
      </c>
      <c r="BC498">
        <v>0.36899999999999999</v>
      </c>
      <c r="BD498">
        <v>-4.4999999999999998E-2</v>
      </c>
      <c r="BE498" t="s">
        <v>71</v>
      </c>
    </row>
    <row r="499" spans="1:57">
      <c r="A499">
        <v>1768</v>
      </c>
      <c r="B499" t="s">
        <v>1978</v>
      </c>
      <c r="D499" t="s">
        <v>60</v>
      </c>
      <c r="E499" t="s">
        <v>1979</v>
      </c>
      <c r="F499" t="s">
        <v>1980</v>
      </c>
      <c r="G499">
        <v>329</v>
      </c>
      <c r="H499" t="s">
        <v>85</v>
      </c>
      <c r="I499">
        <v>4</v>
      </c>
      <c r="J499" t="str">
        <f>HYPERLINK("Gene1768-zp_tree_all.dnd", "Gene1768-tree")</f>
        <v>Gene1768-tree</v>
      </c>
      <c r="K499">
        <v>3</v>
      </c>
      <c r="L499">
        <v>1</v>
      </c>
      <c r="M499">
        <v>3</v>
      </c>
      <c r="N499">
        <v>1</v>
      </c>
      <c r="O499">
        <v>0.25</v>
      </c>
      <c r="P499" t="s">
        <v>86</v>
      </c>
      <c r="Q499" t="s">
        <v>65</v>
      </c>
      <c r="R499" t="s">
        <v>66</v>
      </c>
      <c r="S499" t="s">
        <v>66</v>
      </c>
      <c r="T499">
        <v>0</v>
      </c>
      <c r="U499">
        <v>0</v>
      </c>
      <c r="V499">
        <v>3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3</v>
      </c>
      <c r="AG499">
        <v>0</v>
      </c>
      <c r="AH499">
        <v>4</v>
      </c>
      <c r="AI499">
        <v>1</v>
      </c>
      <c r="AJ499">
        <v>56</v>
      </c>
      <c r="AK499">
        <v>3</v>
      </c>
      <c r="AL499">
        <v>3</v>
      </c>
      <c r="AM499">
        <v>0</v>
      </c>
      <c r="AN499" t="s">
        <v>1981</v>
      </c>
      <c r="AO499" t="s">
        <v>68</v>
      </c>
      <c r="AP499">
        <v>0.50900000000000001</v>
      </c>
      <c r="AQ499" t="s">
        <v>69</v>
      </c>
      <c r="AR499">
        <v>59</v>
      </c>
      <c r="AS499">
        <v>3</v>
      </c>
      <c r="AT499">
        <v>3.09E-2</v>
      </c>
      <c r="AU499">
        <v>-7.0099999999999997E-3</v>
      </c>
      <c r="AV499">
        <v>0.15895999999999999</v>
      </c>
      <c r="AW499">
        <v>-3.7199999999999997E-2</v>
      </c>
      <c r="AX499">
        <v>1.9300000000000001E-3</v>
      </c>
      <c r="AY499">
        <v>-7.9000000000000001E-4</v>
      </c>
      <c r="AZ499">
        <v>1.2160000000000001E-2</v>
      </c>
      <c r="BA499">
        <v>1</v>
      </c>
      <c r="BB499" t="s">
        <v>70</v>
      </c>
      <c r="BC499">
        <v>-0.54500000000000004</v>
      </c>
      <c r="BD499">
        <v>-0.70699999999999996</v>
      </c>
      <c r="BE499" t="s">
        <v>71</v>
      </c>
    </row>
    <row r="500" spans="1:57">
      <c r="A500">
        <v>1768</v>
      </c>
      <c r="B500" t="s">
        <v>1978</v>
      </c>
      <c r="D500" t="s">
        <v>60</v>
      </c>
      <c r="E500" t="s">
        <v>1979</v>
      </c>
      <c r="F500" t="s">
        <v>1980</v>
      </c>
      <c r="G500">
        <v>329</v>
      </c>
      <c r="H500" t="s">
        <v>85</v>
      </c>
      <c r="I500">
        <v>4</v>
      </c>
      <c r="J500" t="str">
        <f>HYPERLINK("Gene1768-zp_tree_all.dnd", "Gene1768-tree")</f>
        <v>Gene1768-tree</v>
      </c>
      <c r="K500">
        <v>3</v>
      </c>
      <c r="L500">
        <v>1</v>
      </c>
      <c r="M500">
        <v>3</v>
      </c>
      <c r="N500">
        <v>1</v>
      </c>
      <c r="O500">
        <v>0.25</v>
      </c>
      <c r="P500" t="s">
        <v>86</v>
      </c>
      <c r="Q500" t="s">
        <v>65</v>
      </c>
      <c r="R500" t="s">
        <v>66</v>
      </c>
      <c r="S500" t="s">
        <v>66</v>
      </c>
      <c r="T500">
        <v>0</v>
      </c>
      <c r="U500">
        <v>0</v>
      </c>
      <c r="V500">
        <v>3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3</v>
      </c>
      <c r="AG500">
        <v>0</v>
      </c>
      <c r="AH500">
        <v>4</v>
      </c>
      <c r="AI500">
        <v>1</v>
      </c>
      <c r="AJ500">
        <v>56</v>
      </c>
      <c r="AK500">
        <v>3</v>
      </c>
      <c r="AL500">
        <v>3</v>
      </c>
      <c r="AM500">
        <v>0</v>
      </c>
      <c r="AN500" t="s">
        <v>1981</v>
      </c>
      <c r="AO500" t="s">
        <v>68</v>
      </c>
      <c r="AP500">
        <v>0.50900000000000001</v>
      </c>
      <c r="AQ500" t="s">
        <v>69</v>
      </c>
      <c r="AR500">
        <v>59</v>
      </c>
      <c r="AS500">
        <v>3</v>
      </c>
      <c r="AT500">
        <v>3.09E-2</v>
      </c>
      <c r="AU500">
        <v>-7.0099999999999997E-3</v>
      </c>
      <c r="AV500">
        <v>0.15895999999999999</v>
      </c>
      <c r="AW500">
        <v>-3.7199999999999997E-2</v>
      </c>
      <c r="AX500">
        <v>1.9300000000000001E-3</v>
      </c>
      <c r="AY500">
        <v>-7.9000000000000001E-4</v>
      </c>
      <c r="AZ500">
        <v>1.2160000000000001E-2</v>
      </c>
      <c r="BA500">
        <v>1</v>
      </c>
      <c r="BB500" t="s">
        <v>70</v>
      </c>
      <c r="BC500">
        <v>-0.54500000000000004</v>
      </c>
      <c r="BD500">
        <v>-0.70699999999999996</v>
      </c>
      <c r="BE500" t="s">
        <v>71</v>
      </c>
    </row>
    <row r="501" spans="1:57">
      <c r="A501">
        <v>1768</v>
      </c>
      <c r="B501" t="s">
        <v>1978</v>
      </c>
      <c r="D501" t="s">
        <v>60</v>
      </c>
      <c r="E501" t="s">
        <v>1979</v>
      </c>
      <c r="F501" t="s">
        <v>1980</v>
      </c>
      <c r="G501">
        <v>329</v>
      </c>
      <c r="H501" t="s">
        <v>85</v>
      </c>
      <c r="I501">
        <v>4</v>
      </c>
      <c r="J501" t="str">
        <f>HYPERLINK("Gene1768-zp_tree_all.dnd", "Gene1768-tree")</f>
        <v>Gene1768-tree</v>
      </c>
      <c r="K501">
        <v>3</v>
      </c>
      <c r="L501">
        <v>1</v>
      </c>
      <c r="M501">
        <v>3</v>
      </c>
      <c r="N501">
        <v>1</v>
      </c>
      <c r="O501">
        <v>0.25</v>
      </c>
      <c r="P501" t="s">
        <v>86</v>
      </c>
      <c r="Q501" t="s">
        <v>65</v>
      </c>
      <c r="R501" t="s">
        <v>66</v>
      </c>
      <c r="S501" t="s">
        <v>66</v>
      </c>
      <c r="T501">
        <v>0</v>
      </c>
      <c r="U501">
        <v>0</v>
      </c>
      <c r="V501">
        <v>3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3</v>
      </c>
      <c r="AG501">
        <v>0</v>
      </c>
      <c r="AH501">
        <v>4</v>
      </c>
      <c r="AI501">
        <v>1</v>
      </c>
      <c r="AJ501">
        <v>56</v>
      </c>
      <c r="AK501">
        <v>3</v>
      </c>
      <c r="AL501">
        <v>3</v>
      </c>
      <c r="AM501">
        <v>0</v>
      </c>
      <c r="AN501" t="s">
        <v>1981</v>
      </c>
      <c r="AO501" t="s">
        <v>68</v>
      </c>
      <c r="AP501">
        <v>0.50900000000000001</v>
      </c>
      <c r="AQ501" t="s">
        <v>69</v>
      </c>
      <c r="AR501">
        <v>59</v>
      </c>
      <c r="AS501">
        <v>3</v>
      </c>
      <c r="AT501">
        <v>3.09E-2</v>
      </c>
      <c r="AU501">
        <v>-7.0099999999999997E-3</v>
      </c>
      <c r="AV501">
        <v>0.15895999999999999</v>
      </c>
      <c r="AW501">
        <v>-3.7199999999999997E-2</v>
      </c>
      <c r="AX501">
        <v>1.9300000000000001E-3</v>
      </c>
      <c r="AY501">
        <v>-7.9000000000000001E-4</v>
      </c>
      <c r="AZ501">
        <v>1.2160000000000001E-2</v>
      </c>
      <c r="BA501">
        <v>1</v>
      </c>
      <c r="BB501" t="s">
        <v>70</v>
      </c>
      <c r="BC501">
        <v>-0.54500000000000004</v>
      </c>
      <c r="BD501">
        <v>-0.70699999999999996</v>
      </c>
      <c r="BE501" t="s">
        <v>71</v>
      </c>
    </row>
    <row r="502" spans="1:57">
      <c r="A502">
        <v>1771</v>
      </c>
      <c r="B502" t="s">
        <v>1982</v>
      </c>
      <c r="D502" t="s">
        <v>60</v>
      </c>
      <c r="E502" t="s">
        <v>1983</v>
      </c>
      <c r="F502" t="s">
        <v>1984</v>
      </c>
      <c r="G502">
        <v>322</v>
      </c>
      <c r="H502" t="s">
        <v>63</v>
      </c>
      <c r="I502">
        <v>5</v>
      </c>
      <c r="J502" t="str">
        <f>HYPERLINK("Gene1771-zp_tree_all.dnd", "Gene1771-tree")</f>
        <v>Gene1771-tree</v>
      </c>
      <c r="K502">
        <v>4</v>
      </c>
      <c r="L502">
        <v>1</v>
      </c>
      <c r="M502">
        <v>4</v>
      </c>
      <c r="N502">
        <v>1</v>
      </c>
      <c r="O502">
        <v>0.2</v>
      </c>
      <c r="P502" t="s">
        <v>64</v>
      </c>
      <c r="Q502" t="s">
        <v>65</v>
      </c>
      <c r="R502" t="s">
        <v>66</v>
      </c>
      <c r="S502" t="s">
        <v>66</v>
      </c>
      <c r="T502">
        <v>0</v>
      </c>
      <c r="U502">
        <v>0</v>
      </c>
      <c r="V502">
        <v>3</v>
      </c>
      <c r="W502">
        <v>0</v>
      </c>
      <c r="X502">
        <v>0</v>
      </c>
      <c r="Y502">
        <v>0</v>
      </c>
      <c r="Z502">
        <v>0</v>
      </c>
      <c r="AA502">
        <v>2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5</v>
      </c>
      <c r="AI502">
        <v>2</v>
      </c>
      <c r="AJ502">
        <v>32</v>
      </c>
      <c r="AK502">
        <v>1</v>
      </c>
      <c r="AL502">
        <v>31</v>
      </c>
      <c r="AM502">
        <v>2</v>
      </c>
      <c r="AN502" t="s">
        <v>1985</v>
      </c>
      <c r="AO502" t="s">
        <v>1986</v>
      </c>
      <c r="AP502">
        <v>0.29799999999999999</v>
      </c>
      <c r="AQ502" t="s">
        <v>69</v>
      </c>
      <c r="AR502">
        <v>63</v>
      </c>
      <c r="AS502">
        <v>3</v>
      </c>
      <c r="AT502">
        <v>3.3849999999999998E-2</v>
      </c>
      <c r="AU502">
        <v>-6.3899999999999998E-3</v>
      </c>
      <c r="AV502">
        <v>0.17849999999999999</v>
      </c>
      <c r="AW502">
        <v>-3.4270000000000002E-2</v>
      </c>
      <c r="AX502">
        <v>2.1099999999999999E-3</v>
      </c>
      <c r="AY502">
        <v>-5.0000000000000001E-4</v>
      </c>
      <c r="AZ502">
        <v>1.183E-2</v>
      </c>
      <c r="BA502">
        <v>1</v>
      </c>
      <c r="BB502" t="s">
        <v>70</v>
      </c>
      <c r="BC502">
        <v>0.34</v>
      </c>
      <c r="BD502">
        <v>0.34</v>
      </c>
      <c r="BE502" t="s">
        <v>71</v>
      </c>
    </row>
    <row r="503" spans="1:57">
      <c r="A503">
        <v>1773</v>
      </c>
      <c r="B503" t="s">
        <v>1987</v>
      </c>
      <c r="D503" t="s">
        <v>60</v>
      </c>
      <c r="E503" t="s">
        <v>1988</v>
      </c>
      <c r="F503" t="s">
        <v>74</v>
      </c>
      <c r="G503">
        <v>421</v>
      </c>
      <c r="H503" t="s">
        <v>106</v>
      </c>
      <c r="I503">
        <v>4</v>
      </c>
      <c r="J503" t="str">
        <f>HYPERLINK("Gene1773-zp_tree_all.dnd", "Gene1773-tree")</f>
        <v>Gene1773-tree</v>
      </c>
      <c r="K503">
        <v>1</v>
      </c>
      <c r="L503">
        <v>3</v>
      </c>
      <c r="M503">
        <v>1</v>
      </c>
      <c r="N503">
        <v>3</v>
      </c>
      <c r="O503">
        <v>0.75</v>
      </c>
      <c r="P503" t="s">
        <v>65</v>
      </c>
      <c r="Q503" t="s">
        <v>86</v>
      </c>
      <c r="R503" t="s">
        <v>66</v>
      </c>
      <c r="S503" t="s">
        <v>66</v>
      </c>
      <c r="T503">
        <v>0</v>
      </c>
      <c r="U503">
        <v>0</v>
      </c>
      <c r="V503">
        <v>6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6</v>
      </c>
      <c r="AG503">
        <v>0</v>
      </c>
      <c r="AH503">
        <v>4</v>
      </c>
      <c r="AI503">
        <v>1</v>
      </c>
      <c r="AJ503">
        <v>74</v>
      </c>
      <c r="AK503">
        <v>6</v>
      </c>
      <c r="AL503">
        <v>4</v>
      </c>
      <c r="AM503">
        <v>0</v>
      </c>
      <c r="AN503" t="s">
        <v>1989</v>
      </c>
      <c r="AO503" t="s">
        <v>68</v>
      </c>
      <c r="AP503">
        <v>1.506</v>
      </c>
      <c r="AQ503" t="s">
        <v>69</v>
      </c>
      <c r="AR503">
        <v>78</v>
      </c>
      <c r="AS503">
        <v>6</v>
      </c>
      <c r="AT503">
        <v>3.193E-2</v>
      </c>
      <c r="AU503">
        <v>-6.4400000000000004E-3</v>
      </c>
      <c r="AV503">
        <v>0.14271</v>
      </c>
      <c r="AW503">
        <v>-3.1530000000000002E-2</v>
      </c>
      <c r="AX503">
        <v>3.1099999999999999E-3</v>
      </c>
      <c r="AY503">
        <v>-5.5000000000000003E-4</v>
      </c>
      <c r="AZ503">
        <v>2.1760000000000002E-2</v>
      </c>
      <c r="BA503">
        <v>1</v>
      </c>
      <c r="BB503" t="s">
        <v>70</v>
      </c>
      <c r="BC503">
        <v>-0.28299999999999997</v>
      </c>
      <c r="BD503">
        <v>-0.66</v>
      </c>
      <c r="BE503" t="s">
        <v>71</v>
      </c>
    </row>
    <row r="504" spans="1:57">
      <c r="A504">
        <v>1774</v>
      </c>
      <c r="B504" t="s">
        <v>1990</v>
      </c>
      <c r="D504" t="s">
        <v>60</v>
      </c>
      <c r="E504" t="s">
        <v>1991</v>
      </c>
      <c r="F504" t="s">
        <v>940</v>
      </c>
      <c r="G504">
        <v>135</v>
      </c>
      <c r="H504" t="s">
        <v>63</v>
      </c>
      <c r="I504">
        <v>5</v>
      </c>
      <c r="J504" t="str">
        <f>HYPERLINK("Gene1774-zp_tree_all.dnd", "Gene1774-tree")</f>
        <v>Gene1774-tree</v>
      </c>
      <c r="K504">
        <v>2</v>
      </c>
      <c r="L504">
        <v>3</v>
      </c>
      <c r="M504">
        <v>1</v>
      </c>
      <c r="N504">
        <v>3</v>
      </c>
      <c r="O504">
        <v>0.75</v>
      </c>
      <c r="P504" t="s">
        <v>65</v>
      </c>
      <c r="Q504" t="s">
        <v>86</v>
      </c>
      <c r="R504" t="s">
        <v>66</v>
      </c>
      <c r="S504" t="s">
        <v>66</v>
      </c>
      <c r="T504">
        <v>0</v>
      </c>
      <c r="U504">
        <v>0</v>
      </c>
      <c r="V504">
        <v>3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3</v>
      </c>
      <c r="AG504">
        <v>0</v>
      </c>
      <c r="AH504">
        <v>4</v>
      </c>
      <c r="AI504">
        <v>1</v>
      </c>
      <c r="AJ504">
        <v>6</v>
      </c>
      <c r="AK504">
        <v>3</v>
      </c>
      <c r="AL504">
        <v>4</v>
      </c>
      <c r="AM504">
        <v>0</v>
      </c>
      <c r="AN504" t="s">
        <v>1992</v>
      </c>
      <c r="AO504" t="s">
        <v>68</v>
      </c>
      <c r="AP504">
        <v>2.2349999999999999</v>
      </c>
      <c r="AQ504" t="s">
        <v>239</v>
      </c>
      <c r="AR504">
        <v>10</v>
      </c>
      <c r="AS504">
        <v>3</v>
      </c>
      <c r="AT504">
        <v>1.687E-2</v>
      </c>
      <c r="AU504">
        <v>-1.7899999999999999E-3</v>
      </c>
      <c r="AV504">
        <v>6.6669999999999993E-2</v>
      </c>
      <c r="AW504">
        <v>-0.01</v>
      </c>
      <c r="AX504">
        <v>4.6899999999999997E-3</v>
      </c>
      <c r="AY504">
        <v>-6.4000000000000005E-4</v>
      </c>
      <c r="AZ504">
        <v>7.0349999999999996E-2</v>
      </c>
      <c r="BA504">
        <v>1</v>
      </c>
      <c r="BB504" t="s">
        <v>70</v>
      </c>
      <c r="BC504">
        <v>0.55200000000000005</v>
      </c>
      <c r="BD504">
        <v>0.55200000000000005</v>
      </c>
      <c r="BE504" t="s">
        <v>71</v>
      </c>
    </row>
    <row r="505" spans="1:57">
      <c r="A505">
        <v>1775</v>
      </c>
      <c r="B505" t="s">
        <v>1993</v>
      </c>
      <c r="D505" t="s">
        <v>60</v>
      </c>
      <c r="E505" t="s">
        <v>1994</v>
      </c>
      <c r="F505" t="s">
        <v>1995</v>
      </c>
      <c r="G505">
        <v>444</v>
      </c>
      <c r="H505" t="s">
        <v>63</v>
      </c>
      <c r="I505">
        <v>5</v>
      </c>
      <c r="J505" t="str">
        <f>HYPERLINK("Gene1775-zp_tree_all.dnd", "Gene1775-tree")</f>
        <v>Gene1775-tree</v>
      </c>
      <c r="K505">
        <v>3</v>
      </c>
      <c r="L505">
        <v>2</v>
      </c>
      <c r="M505">
        <v>3</v>
      </c>
      <c r="N505">
        <v>2</v>
      </c>
      <c r="O505">
        <v>0.4</v>
      </c>
      <c r="P505" t="s">
        <v>86</v>
      </c>
      <c r="Q505" t="s">
        <v>124</v>
      </c>
      <c r="R505" t="s">
        <v>66</v>
      </c>
      <c r="S505" t="s">
        <v>66</v>
      </c>
      <c r="T505">
        <v>0</v>
      </c>
      <c r="U505">
        <v>0</v>
      </c>
      <c r="V505">
        <v>4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0</v>
      </c>
      <c r="AC505">
        <v>0</v>
      </c>
      <c r="AD505">
        <v>0</v>
      </c>
      <c r="AE505">
        <v>0</v>
      </c>
      <c r="AF505">
        <v>2</v>
      </c>
      <c r="AG505">
        <v>0</v>
      </c>
      <c r="AH505">
        <v>5</v>
      </c>
      <c r="AI505">
        <v>2</v>
      </c>
      <c r="AJ505">
        <v>54</v>
      </c>
      <c r="AK505">
        <v>2</v>
      </c>
      <c r="AL505">
        <v>29</v>
      </c>
      <c r="AM505">
        <v>3</v>
      </c>
      <c r="AN505" t="s">
        <v>1996</v>
      </c>
      <c r="AO505" t="s">
        <v>1997</v>
      </c>
      <c r="AP505">
        <v>0.63700000000000001</v>
      </c>
      <c r="AQ505" t="s">
        <v>69</v>
      </c>
      <c r="AR505">
        <v>83</v>
      </c>
      <c r="AS505">
        <v>5</v>
      </c>
      <c r="AT505">
        <v>2.988E-2</v>
      </c>
      <c r="AU505">
        <v>-3.5999999999999999E-3</v>
      </c>
      <c r="AV505">
        <v>0.13944999999999999</v>
      </c>
      <c r="AW505">
        <v>-1.7409999999999998E-2</v>
      </c>
      <c r="AX505">
        <v>2.5200000000000001E-3</v>
      </c>
      <c r="AY505">
        <v>-5.0000000000000001E-4</v>
      </c>
      <c r="AZ505">
        <v>1.804E-2</v>
      </c>
      <c r="BA505">
        <v>1</v>
      </c>
      <c r="BB505" t="s">
        <v>70</v>
      </c>
      <c r="BC505">
        <v>0.27700000000000002</v>
      </c>
      <c r="BD505">
        <v>0.04</v>
      </c>
      <c r="BE505" t="s">
        <v>71</v>
      </c>
    </row>
    <row r="506" spans="1:57">
      <c r="A506">
        <v>1790</v>
      </c>
      <c r="B506" t="s">
        <v>2002</v>
      </c>
      <c r="D506" t="s">
        <v>60</v>
      </c>
      <c r="E506" t="s">
        <v>2003</v>
      </c>
      <c r="F506" t="s">
        <v>2004</v>
      </c>
      <c r="G506">
        <v>445</v>
      </c>
      <c r="H506" t="s">
        <v>63</v>
      </c>
      <c r="I506">
        <v>5</v>
      </c>
      <c r="J506" t="str">
        <f>HYPERLINK("Gene1790-zp_tree_all.dnd", "Gene1790-tree")</f>
        <v>Gene1790-tree</v>
      </c>
      <c r="K506">
        <v>0</v>
      </c>
      <c r="L506">
        <v>5</v>
      </c>
      <c r="M506">
        <v>0</v>
      </c>
      <c r="N506">
        <v>5</v>
      </c>
      <c r="O506">
        <v>1</v>
      </c>
      <c r="P506" t="s">
        <v>66</v>
      </c>
      <c r="Q506" t="s">
        <v>96</v>
      </c>
      <c r="R506" t="s">
        <v>66</v>
      </c>
      <c r="S506" t="s">
        <v>66</v>
      </c>
      <c r="T506">
        <v>2</v>
      </c>
      <c r="U506">
        <v>4</v>
      </c>
      <c r="V506">
        <v>20</v>
      </c>
      <c r="W506">
        <v>0.16667000000000001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4</v>
      </c>
      <c r="AE506">
        <v>4</v>
      </c>
      <c r="AF506">
        <v>20</v>
      </c>
      <c r="AG506">
        <v>0.16667000000000001</v>
      </c>
      <c r="AH506">
        <v>5</v>
      </c>
      <c r="AI506">
        <v>2</v>
      </c>
      <c r="AJ506">
        <v>25</v>
      </c>
      <c r="AK506">
        <v>11</v>
      </c>
      <c r="AL506">
        <v>39</v>
      </c>
      <c r="AM506">
        <v>16</v>
      </c>
      <c r="AN506" t="s">
        <v>2005</v>
      </c>
      <c r="AO506" t="s">
        <v>2006</v>
      </c>
      <c r="AP506">
        <v>0.11</v>
      </c>
      <c r="AQ506" t="s">
        <v>69</v>
      </c>
      <c r="AR506">
        <v>64</v>
      </c>
      <c r="AS506">
        <v>27</v>
      </c>
      <c r="AT506">
        <v>3.4680000000000002E-2</v>
      </c>
      <c r="AU506">
        <v>-6.2199999999999998E-3</v>
      </c>
      <c r="AV506">
        <v>0.12324</v>
      </c>
      <c r="AW506">
        <v>-2.3439999999999999E-2</v>
      </c>
      <c r="AX506">
        <v>1.359E-2</v>
      </c>
      <c r="AY506">
        <v>-2.3600000000000001E-3</v>
      </c>
      <c r="AZ506">
        <v>0.11024</v>
      </c>
      <c r="BA506">
        <v>1</v>
      </c>
      <c r="BB506" t="s">
        <v>70</v>
      </c>
      <c r="BC506">
        <v>0.92300000000000004</v>
      </c>
      <c r="BD506">
        <v>0.68400000000000005</v>
      </c>
      <c r="BE506" t="s">
        <v>71</v>
      </c>
    </row>
    <row r="507" spans="1:57">
      <c r="A507">
        <v>1821</v>
      </c>
      <c r="B507" t="s">
        <v>2013</v>
      </c>
      <c r="D507" t="s">
        <v>60</v>
      </c>
      <c r="E507" t="s">
        <v>2014</v>
      </c>
      <c r="F507" t="s">
        <v>2015</v>
      </c>
      <c r="G507">
        <v>148</v>
      </c>
      <c r="H507" t="s">
        <v>106</v>
      </c>
      <c r="I507">
        <v>4</v>
      </c>
      <c r="J507" t="str">
        <f>HYPERLINK("Gene1821-zp_tree_all.dnd", "Gene1821-tree")</f>
        <v>Gene1821-tree</v>
      </c>
      <c r="K507">
        <v>2</v>
      </c>
      <c r="L507">
        <v>2</v>
      </c>
      <c r="M507">
        <v>2</v>
      </c>
      <c r="N507">
        <v>2</v>
      </c>
      <c r="O507">
        <v>0.5</v>
      </c>
      <c r="P507" t="s">
        <v>124</v>
      </c>
      <c r="Q507" t="s">
        <v>124</v>
      </c>
      <c r="R507" t="s">
        <v>66</v>
      </c>
      <c r="S507" t="s">
        <v>66</v>
      </c>
      <c r="T507">
        <v>0</v>
      </c>
      <c r="U507">
        <v>0</v>
      </c>
      <c r="V507">
        <v>5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5</v>
      </c>
      <c r="AG507">
        <v>0</v>
      </c>
      <c r="AH507">
        <v>3</v>
      </c>
      <c r="AI507">
        <v>1</v>
      </c>
      <c r="AJ507">
        <v>16</v>
      </c>
      <c r="AK507">
        <v>6</v>
      </c>
      <c r="AL507">
        <v>1</v>
      </c>
      <c r="AM507">
        <v>0</v>
      </c>
      <c r="AN507" t="s">
        <v>2016</v>
      </c>
      <c r="AO507" t="s">
        <v>68</v>
      </c>
      <c r="AP507">
        <v>0.68</v>
      </c>
      <c r="AQ507" t="s">
        <v>69</v>
      </c>
      <c r="AR507">
        <v>17</v>
      </c>
      <c r="AS507">
        <v>6</v>
      </c>
      <c r="AT507">
        <v>2.6280000000000001E-2</v>
      </c>
      <c r="AU507">
        <v>-8.3199999999999993E-3</v>
      </c>
      <c r="AV507">
        <v>0.10909000000000001</v>
      </c>
      <c r="AW507">
        <v>-3.5380000000000002E-2</v>
      </c>
      <c r="AX507">
        <v>8.5299999999999994E-3</v>
      </c>
      <c r="AY507">
        <v>-2.7699999999999999E-3</v>
      </c>
      <c r="AZ507">
        <v>7.8219999999999998E-2</v>
      </c>
      <c r="BA507">
        <v>1</v>
      </c>
      <c r="BB507" t="s">
        <v>70</v>
      </c>
      <c r="BC507">
        <v>-0.72</v>
      </c>
      <c r="BD507">
        <v>-0.72</v>
      </c>
      <c r="BE507" t="s">
        <v>71</v>
      </c>
    </row>
    <row r="508" spans="1:57">
      <c r="A508">
        <v>1824</v>
      </c>
      <c r="B508" t="s">
        <v>2022</v>
      </c>
      <c r="D508" t="s">
        <v>60</v>
      </c>
      <c r="E508" t="s">
        <v>2023</v>
      </c>
      <c r="F508" t="s">
        <v>2024</v>
      </c>
      <c r="G508">
        <v>235</v>
      </c>
      <c r="H508" t="s">
        <v>85</v>
      </c>
      <c r="I508">
        <v>4</v>
      </c>
      <c r="J508" t="str">
        <f>HYPERLINK("Gene1824-zp_tree_all.dnd", "Gene1824-tree")</f>
        <v>Gene1824-tree</v>
      </c>
      <c r="K508">
        <v>2</v>
      </c>
      <c r="L508">
        <v>2</v>
      </c>
      <c r="M508">
        <v>2</v>
      </c>
      <c r="N508">
        <v>2</v>
      </c>
      <c r="O508">
        <v>0.5</v>
      </c>
      <c r="P508" t="s">
        <v>124</v>
      </c>
      <c r="Q508" t="s">
        <v>124</v>
      </c>
      <c r="R508" t="s">
        <v>66</v>
      </c>
      <c r="S508" t="s">
        <v>66</v>
      </c>
      <c r="T508">
        <v>0</v>
      </c>
      <c r="U508">
        <v>0</v>
      </c>
      <c r="V508">
        <v>5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5</v>
      </c>
      <c r="AG508">
        <v>0</v>
      </c>
      <c r="AH508">
        <v>4</v>
      </c>
      <c r="AI508">
        <v>1</v>
      </c>
      <c r="AJ508">
        <v>34</v>
      </c>
      <c r="AK508">
        <v>4</v>
      </c>
      <c r="AL508">
        <v>5</v>
      </c>
      <c r="AM508">
        <v>1</v>
      </c>
      <c r="AN508" t="s">
        <v>2025</v>
      </c>
      <c r="AO508" t="s">
        <v>2026</v>
      </c>
      <c r="AP508">
        <v>0.622</v>
      </c>
      <c r="AQ508" t="s">
        <v>69</v>
      </c>
      <c r="AR508">
        <v>39</v>
      </c>
      <c r="AS508">
        <v>5</v>
      </c>
      <c r="AT508">
        <v>3.0970000000000001E-2</v>
      </c>
      <c r="AU508">
        <v>-7.0099999999999997E-3</v>
      </c>
      <c r="AV508">
        <v>0.12912000000000001</v>
      </c>
      <c r="AW508">
        <v>-3.2719999999999999E-2</v>
      </c>
      <c r="AX508">
        <v>4.9699999999999996E-3</v>
      </c>
      <c r="AY508">
        <v>-9.5E-4</v>
      </c>
      <c r="AZ508">
        <v>3.8519999999999999E-2</v>
      </c>
      <c r="BA508">
        <v>1</v>
      </c>
      <c r="BB508" t="s">
        <v>70</v>
      </c>
      <c r="BC508">
        <v>7.0000000000000001E-3</v>
      </c>
      <c r="BD508">
        <v>-0.94399999999999995</v>
      </c>
      <c r="BE508" t="s">
        <v>71</v>
      </c>
    </row>
    <row r="509" spans="1:57">
      <c r="A509">
        <v>1825</v>
      </c>
      <c r="B509" t="s">
        <v>2027</v>
      </c>
      <c r="D509" t="s">
        <v>60</v>
      </c>
      <c r="E509" t="s">
        <v>2028</v>
      </c>
      <c r="F509" t="s">
        <v>2029</v>
      </c>
      <c r="G509">
        <v>120</v>
      </c>
      <c r="H509" t="s">
        <v>106</v>
      </c>
      <c r="I509">
        <v>4</v>
      </c>
      <c r="J509" t="str">
        <f>HYPERLINK("Gene1825-zp_tree_all.dnd", "Gene1825-tree")</f>
        <v>Gene1825-tree</v>
      </c>
      <c r="K509">
        <v>2</v>
      </c>
      <c r="L509">
        <v>2</v>
      </c>
      <c r="M509">
        <v>2</v>
      </c>
      <c r="N509">
        <v>2</v>
      </c>
      <c r="O509">
        <v>0.5</v>
      </c>
      <c r="P509" t="s">
        <v>124</v>
      </c>
      <c r="Q509" t="s">
        <v>124</v>
      </c>
      <c r="R509" t="s">
        <v>66</v>
      </c>
      <c r="S509" t="s">
        <v>66</v>
      </c>
      <c r="T509">
        <v>0</v>
      </c>
      <c r="U509">
        <v>0</v>
      </c>
      <c r="V509">
        <v>3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3</v>
      </c>
      <c r="AG509">
        <v>0</v>
      </c>
      <c r="AH509">
        <v>3</v>
      </c>
      <c r="AI509">
        <v>1</v>
      </c>
      <c r="AJ509">
        <v>16</v>
      </c>
      <c r="AK509">
        <v>3</v>
      </c>
      <c r="AL509">
        <v>1</v>
      </c>
      <c r="AM509">
        <v>0</v>
      </c>
      <c r="AN509" t="s">
        <v>2030</v>
      </c>
      <c r="AO509" t="s">
        <v>68</v>
      </c>
      <c r="AP509">
        <v>0.84499999999999997</v>
      </c>
      <c r="AQ509" t="s">
        <v>69</v>
      </c>
      <c r="AR509">
        <v>17</v>
      </c>
      <c r="AS509">
        <v>3</v>
      </c>
      <c r="AT509">
        <v>2.801E-2</v>
      </c>
      <c r="AU509">
        <v>-8.4600000000000005E-3</v>
      </c>
      <c r="AV509">
        <v>0.12077</v>
      </c>
      <c r="AW509">
        <v>-3.9E-2</v>
      </c>
      <c r="AX509">
        <v>5.4400000000000004E-3</v>
      </c>
      <c r="AY509">
        <v>-1.42E-3</v>
      </c>
      <c r="AZ509">
        <v>4.505E-2</v>
      </c>
      <c r="BA509">
        <v>1</v>
      </c>
      <c r="BB509" t="s">
        <v>70</v>
      </c>
      <c r="BC509">
        <v>-0.35899999999999999</v>
      </c>
      <c r="BD509">
        <v>-0.85299999999999998</v>
      </c>
      <c r="BE509" t="s">
        <v>71</v>
      </c>
    </row>
    <row r="510" spans="1:57">
      <c r="A510">
        <v>1826</v>
      </c>
      <c r="B510" t="s">
        <v>2031</v>
      </c>
      <c r="D510" t="s">
        <v>60</v>
      </c>
      <c r="E510" t="s">
        <v>2032</v>
      </c>
      <c r="F510" t="s">
        <v>74</v>
      </c>
      <c r="G510">
        <v>163</v>
      </c>
      <c r="H510" t="s">
        <v>63</v>
      </c>
      <c r="I510">
        <v>5</v>
      </c>
      <c r="J510" t="str">
        <f>HYPERLINK("Gene1826-zp_tree_all.dnd", "Gene1826-tree")</f>
        <v>Gene1826-tree</v>
      </c>
      <c r="K510">
        <v>2</v>
      </c>
      <c r="L510">
        <v>3</v>
      </c>
      <c r="M510">
        <v>2</v>
      </c>
      <c r="N510">
        <v>3</v>
      </c>
      <c r="O510">
        <v>0.6</v>
      </c>
      <c r="P510" t="s">
        <v>124</v>
      </c>
      <c r="Q510" t="s">
        <v>86</v>
      </c>
      <c r="R510" t="s">
        <v>66</v>
      </c>
      <c r="S510" t="s">
        <v>66</v>
      </c>
      <c r="T510">
        <v>0</v>
      </c>
      <c r="U510">
        <v>0</v>
      </c>
      <c r="V510">
        <v>6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5</v>
      </c>
      <c r="AG510">
        <v>0</v>
      </c>
      <c r="AH510">
        <v>5</v>
      </c>
      <c r="AI510">
        <v>2</v>
      </c>
      <c r="AJ510">
        <v>10</v>
      </c>
      <c r="AK510">
        <v>4</v>
      </c>
      <c r="AL510">
        <v>12</v>
      </c>
      <c r="AM510">
        <v>2</v>
      </c>
      <c r="AN510" t="s">
        <v>2033</v>
      </c>
      <c r="AO510" t="s">
        <v>2034</v>
      </c>
      <c r="AP510">
        <v>0.99399999999999999</v>
      </c>
      <c r="AQ510" t="s">
        <v>69</v>
      </c>
      <c r="AR510">
        <v>22</v>
      </c>
      <c r="AS510">
        <v>6</v>
      </c>
      <c r="AT510">
        <v>2.7810000000000001E-2</v>
      </c>
      <c r="AU510">
        <v>-4.2500000000000003E-3</v>
      </c>
      <c r="AV510">
        <v>0.10983</v>
      </c>
      <c r="AW510">
        <v>-1.9009999999999999E-2</v>
      </c>
      <c r="AX510">
        <v>7.3899999999999999E-3</v>
      </c>
      <c r="AY510">
        <v>-1.0499999999999999E-3</v>
      </c>
      <c r="AZ510">
        <v>6.7299999999999999E-2</v>
      </c>
      <c r="BA510">
        <v>1</v>
      </c>
      <c r="BB510" t="s">
        <v>70</v>
      </c>
      <c r="BC510">
        <v>0.36799999999999999</v>
      </c>
      <c r="BD510">
        <v>0.36799999999999999</v>
      </c>
      <c r="BE510" t="s">
        <v>71</v>
      </c>
    </row>
    <row r="511" spans="1:57">
      <c r="A511">
        <v>1833</v>
      </c>
      <c r="B511" t="s">
        <v>2044</v>
      </c>
      <c r="D511" t="s">
        <v>60</v>
      </c>
      <c r="E511" t="s">
        <v>2045</v>
      </c>
      <c r="F511" t="s">
        <v>74</v>
      </c>
      <c r="G511">
        <v>41</v>
      </c>
      <c r="H511" t="s">
        <v>63</v>
      </c>
      <c r="I511">
        <v>5</v>
      </c>
      <c r="J511" t="str">
        <f>HYPERLINK("Gene1833-zp_tree_all.dnd", "Gene1833-tree")</f>
        <v>Gene1833-tree</v>
      </c>
      <c r="K511">
        <v>5</v>
      </c>
      <c r="L511">
        <v>0</v>
      </c>
      <c r="M511">
        <v>4</v>
      </c>
      <c r="N511">
        <v>0</v>
      </c>
      <c r="O511">
        <v>0</v>
      </c>
      <c r="P511" t="s">
        <v>135</v>
      </c>
      <c r="Q511" t="s">
        <v>66</v>
      </c>
      <c r="R511" t="s">
        <v>66</v>
      </c>
      <c r="S511" t="s">
        <v>66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3</v>
      </c>
      <c r="AI511">
        <v>0</v>
      </c>
      <c r="AJ511">
        <v>4</v>
      </c>
      <c r="AK511">
        <v>0</v>
      </c>
      <c r="AL511">
        <v>0</v>
      </c>
      <c r="AM511">
        <v>0</v>
      </c>
      <c r="AN511" t="s">
        <v>68</v>
      </c>
      <c r="AO511" t="s">
        <v>68</v>
      </c>
      <c r="AP511">
        <v>0</v>
      </c>
      <c r="AQ511" t="s">
        <v>69</v>
      </c>
      <c r="AR511">
        <v>4</v>
      </c>
      <c r="AS511">
        <v>0</v>
      </c>
      <c r="AT511">
        <v>1.626E-2</v>
      </c>
      <c r="AU511">
        <v>-2.7100000000000002E-3</v>
      </c>
      <c r="AV511">
        <v>9.9739999999999995E-2</v>
      </c>
      <c r="AW511">
        <v>-1.7579999999999998E-2</v>
      </c>
      <c r="AX511">
        <v>0</v>
      </c>
      <c r="AY511">
        <v>0</v>
      </c>
      <c r="AZ511">
        <v>0</v>
      </c>
      <c r="BA511">
        <v>1</v>
      </c>
      <c r="BB511" t="s">
        <v>70</v>
      </c>
      <c r="BC511">
        <v>0.27300000000000002</v>
      </c>
      <c r="BD511">
        <v>0.27300000000000002</v>
      </c>
      <c r="BE511" t="s">
        <v>71</v>
      </c>
    </row>
    <row r="512" spans="1:57">
      <c r="A512">
        <v>1834</v>
      </c>
      <c r="B512" t="s">
        <v>2046</v>
      </c>
      <c r="D512" t="s">
        <v>60</v>
      </c>
      <c r="E512" t="s">
        <v>2047</v>
      </c>
      <c r="F512" t="s">
        <v>2048</v>
      </c>
      <c r="G512">
        <v>48</v>
      </c>
      <c r="H512" t="s">
        <v>63</v>
      </c>
      <c r="I512">
        <v>5</v>
      </c>
      <c r="J512" t="str">
        <f>HYPERLINK("Gene1834-zp_tree_all.dnd", "Gene1834-tree")</f>
        <v>Gene1834-tree</v>
      </c>
      <c r="K512">
        <v>5</v>
      </c>
      <c r="L512">
        <v>0</v>
      </c>
      <c r="M512">
        <v>4</v>
      </c>
      <c r="N512">
        <v>0</v>
      </c>
      <c r="O512">
        <v>0</v>
      </c>
      <c r="P512" t="s">
        <v>135</v>
      </c>
      <c r="Q512" t="s">
        <v>66</v>
      </c>
      <c r="R512" t="s">
        <v>66</v>
      </c>
      <c r="S512" t="s">
        <v>66</v>
      </c>
      <c r="T512">
        <v>0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3</v>
      </c>
      <c r="AI512">
        <v>1</v>
      </c>
      <c r="AJ512">
        <v>7</v>
      </c>
      <c r="AK512">
        <v>0</v>
      </c>
      <c r="AL512">
        <v>0</v>
      </c>
      <c r="AM512">
        <v>1</v>
      </c>
      <c r="AN512" t="s">
        <v>68</v>
      </c>
      <c r="AO512" t="s">
        <v>68</v>
      </c>
      <c r="AP512">
        <v>0</v>
      </c>
      <c r="AQ512" t="s">
        <v>69</v>
      </c>
      <c r="AR512">
        <v>7</v>
      </c>
      <c r="AS512">
        <v>1</v>
      </c>
      <c r="AT512">
        <v>2.4309999999999998E-2</v>
      </c>
      <c r="AU512">
        <v>-3.5699999999999998E-3</v>
      </c>
      <c r="AV512">
        <v>0.10621</v>
      </c>
      <c r="AW512">
        <v>-1.9529999999999999E-2</v>
      </c>
      <c r="AX512">
        <v>5.8300000000000001E-3</v>
      </c>
      <c r="AY512">
        <v>-1.3699999999999999E-3</v>
      </c>
      <c r="AZ512">
        <v>5.4899999999999997E-2</v>
      </c>
      <c r="BA512">
        <v>1</v>
      </c>
      <c r="BB512" t="s">
        <v>70</v>
      </c>
      <c r="BC512">
        <v>0.52500000000000002</v>
      </c>
      <c r="BD512">
        <v>-0.66800000000000004</v>
      </c>
      <c r="BE512" t="s">
        <v>71</v>
      </c>
    </row>
    <row r="513" spans="1:57">
      <c r="A513">
        <v>1879</v>
      </c>
      <c r="B513" t="s">
        <v>2061</v>
      </c>
      <c r="D513" t="s">
        <v>60</v>
      </c>
      <c r="E513" t="s">
        <v>2062</v>
      </c>
      <c r="F513" t="s">
        <v>2063</v>
      </c>
      <c r="G513">
        <v>300</v>
      </c>
      <c r="H513" t="s">
        <v>63</v>
      </c>
      <c r="I513">
        <v>5</v>
      </c>
      <c r="J513" t="str">
        <f>HYPERLINK("Gene1879-zp_tree_all.dnd", "Gene1879-tree")</f>
        <v>Gene1879-tree</v>
      </c>
      <c r="K513">
        <v>4</v>
      </c>
      <c r="L513">
        <v>1</v>
      </c>
      <c r="M513">
        <v>4</v>
      </c>
      <c r="N513">
        <v>1</v>
      </c>
      <c r="O513">
        <v>0.2</v>
      </c>
      <c r="P513" t="s">
        <v>64</v>
      </c>
      <c r="Q513" t="s">
        <v>65</v>
      </c>
      <c r="R513" t="s">
        <v>66</v>
      </c>
      <c r="S513" t="s">
        <v>66</v>
      </c>
      <c r="T513">
        <v>0</v>
      </c>
      <c r="U513">
        <v>0</v>
      </c>
      <c r="V513">
        <v>5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0</v>
      </c>
      <c r="AC513">
        <v>0</v>
      </c>
      <c r="AD513">
        <v>0</v>
      </c>
      <c r="AE513">
        <v>0</v>
      </c>
      <c r="AF513">
        <v>2</v>
      </c>
      <c r="AG513">
        <v>0</v>
      </c>
      <c r="AH513">
        <v>4</v>
      </c>
      <c r="AI513">
        <v>2</v>
      </c>
      <c r="AJ513">
        <v>21</v>
      </c>
      <c r="AK513">
        <v>2</v>
      </c>
      <c r="AL513">
        <v>29</v>
      </c>
      <c r="AM513">
        <v>3</v>
      </c>
      <c r="AN513" t="s">
        <v>2064</v>
      </c>
      <c r="AO513" t="s">
        <v>2065</v>
      </c>
      <c r="AP513">
        <v>8.9999999999999993E-3</v>
      </c>
      <c r="AQ513" t="s">
        <v>69</v>
      </c>
      <c r="AR513">
        <v>50</v>
      </c>
      <c r="AS513">
        <v>5</v>
      </c>
      <c r="AT513">
        <v>3.1E-2</v>
      </c>
      <c r="AU513">
        <v>-5.94E-3</v>
      </c>
      <c r="AV513">
        <v>0.13908999999999999</v>
      </c>
      <c r="AW513">
        <v>-2.7089999999999999E-2</v>
      </c>
      <c r="AX513">
        <v>3.7599999999999999E-3</v>
      </c>
      <c r="AY513">
        <v>-8.9999999999999998E-4</v>
      </c>
      <c r="AZ513">
        <v>2.7040000000000002E-2</v>
      </c>
      <c r="BA513">
        <v>1</v>
      </c>
      <c r="BB513" t="s">
        <v>70</v>
      </c>
      <c r="BC513">
        <v>0.73</v>
      </c>
      <c r="BD513">
        <v>0.58199999999999996</v>
      </c>
      <c r="BE513" t="s">
        <v>71</v>
      </c>
    </row>
    <row r="514" spans="1:57">
      <c r="A514">
        <v>1969</v>
      </c>
      <c r="B514" t="s">
        <v>2082</v>
      </c>
      <c r="D514" t="s">
        <v>66</v>
      </c>
      <c r="E514" t="s">
        <v>2083</v>
      </c>
      <c r="F514" t="s">
        <v>74</v>
      </c>
      <c r="G514">
        <v>114</v>
      </c>
      <c r="H514" t="s">
        <v>63</v>
      </c>
      <c r="I514">
        <v>5</v>
      </c>
      <c r="J514" t="str">
        <f>HYPERLINK("Gene1969-zp_tree_all.dnd", "Gene1969-tree")</f>
        <v>Gene1969-tree</v>
      </c>
      <c r="K514">
        <v>5</v>
      </c>
      <c r="L514">
        <v>0</v>
      </c>
      <c r="M514">
        <v>5</v>
      </c>
      <c r="N514">
        <v>0</v>
      </c>
      <c r="O514">
        <v>0</v>
      </c>
      <c r="P514" t="s">
        <v>96</v>
      </c>
      <c r="Q514" t="s">
        <v>66</v>
      </c>
      <c r="R514" t="s">
        <v>66</v>
      </c>
      <c r="S514" t="s">
        <v>66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3</v>
      </c>
      <c r="AI514">
        <v>1</v>
      </c>
      <c r="AJ514">
        <v>5</v>
      </c>
      <c r="AK514">
        <v>0</v>
      </c>
      <c r="AL514">
        <v>9</v>
      </c>
      <c r="AM514">
        <v>0</v>
      </c>
      <c r="AN514" t="s">
        <v>68</v>
      </c>
      <c r="AO514" t="s">
        <v>68</v>
      </c>
      <c r="AP514">
        <v>0</v>
      </c>
      <c r="AQ514" t="s">
        <v>69</v>
      </c>
      <c r="AR514">
        <v>14</v>
      </c>
      <c r="AS514">
        <v>0</v>
      </c>
      <c r="AT514">
        <v>2.164E-2</v>
      </c>
      <c r="AU514">
        <v>-4.1999999999999997E-3</v>
      </c>
      <c r="AV514">
        <v>0.11525000000000001</v>
      </c>
      <c r="AW514">
        <v>-2.3140000000000001E-2</v>
      </c>
      <c r="AX514">
        <v>0</v>
      </c>
      <c r="AY514">
        <v>0</v>
      </c>
      <c r="AZ514">
        <v>0</v>
      </c>
      <c r="BA514">
        <v>1</v>
      </c>
      <c r="BB514" t="s">
        <v>70</v>
      </c>
      <c r="BC514">
        <v>0.73799999999999999</v>
      </c>
      <c r="BD514">
        <v>0.73799999999999999</v>
      </c>
      <c r="BE514" t="s">
        <v>71</v>
      </c>
    </row>
    <row r="515" spans="1:57">
      <c r="A515">
        <v>1986</v>
      </c>
      <c r="B515" t="s">
        <v>2087</v>
      </c>
      <c r="D515" t="s">
        <v>66</v>
      </c>
      <c r="E515" t="s">
        <v>2088</v>
      </c>
      <c r="F515" t="s">
        <v>2089</v>
      </c>
      <c r="G515">
        <v>221</v>
      </c>
      <c r="H515" t="s">
        <v>63</v>
      </c>
      <c r="I515">
        <v>5</v>
      </c>
      <c r="J515" t="str">
        <f>HYPERLINK("Gene1986-zp_tree_all.dnd", "Gene1986-tree")</f>
        <v>Gene1986-tree</v>
      </c>
      <c r="K515">
        <v>5</v>
      </c>
      <c r="L515">
        <v>0</v>
      </c>
      <c r="M515">
        <v>5</v>
      </c>
      <c r="N515">
        <v>0</v>
      </c>
      <c r="O515">
        <v>0</v>
      </c>
      <c r="P515" t="s">
        <v>96</v>
      </c>
      <c r="Q515" t="s">
        <v>66</v>
      </c>
      <c r="R515" t="s">
        <v>66</v>
      </c>
      <c r="S515" t="s">
        <v>66</v>
      </c>
      <c r="T515">
        <v>0</v>
      </c>
      <c r="U515">
        <v>0</v>
      </c>
      <c r="V515">
        <v>2</v>
      </c>
      <c r="W515">
        <v>0</v>
      </c>
      <c r="X515">
        <v>0</v>
      </c>
      <c r="Y515">
        <v>0</v>
      </c>
      <c r="Z515">
        <v>0</v>
      </c>
      <c r="AA515">
        <v>2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5</v>
      </c>
      <c r="AI515">
        <v>2</v>
      </c>
      <c r="AJ515">
        <v>22</v>
      </c>
      <c r="AK515">
        <v>0</v>
      </c>
      <c r="AL515">
        <v>20</v>
      </c>
      <c r="AM515">
        <v>2</v>
      </c>
      <c r="AN515" t="s">
        <v>68</v>
      </c>
      <c r="AO515" t="s">
        <v>2090</v>
      </c>
      <c r="AP515">
        <v>0.85</v>
      </c>
      <c r="AQ515" t="s">
        <v>69</v>
      </c>
      <c r="AR515">
        <v>42</v>
      </c>
      <c r="AS515">
        <v>2</v>
      </c>
      <c r="AT515">
        <v>3.2129999999999999E-2</v>
      </c>
      <c r="AU515">
        <v>-5.4900000000000001E-3</v>
      </c>
      <c r="AV515">
        <v>0.16051000000000001</v>
      </c>
      <c r="AW515">
        <v>-2.8240000000000001E-2</v>
      </c>
      <c r="AX515">
        <v>2.7000000000000001E-3</v>
      </c>
      <c r="AY515">
        <v>-6.8000000000000005E-4</v>
      </c>
      <c r="AZ515">
        <v>1.6789999999999999E-2</v>
      </c>
      <c r="BA515">
        <v>1</v>
      </c>
      <c r="BB515" t="s">
        <v>70</v>
      </c>
      <c r="BC515">
        <v>0.61899999999999999</v>
      </c>
      <c r="BD515">
        <v>0.27500000000000002</v>
      </c>
      <c r="BE515" t="s">
        <v>71</v>
      </c>
    </row>
    <row r="516" spans="1:57">
      <c r="A516">
        <v>1987</v>
      </c>
      <c r="B516" t="s">
        <v>2091</v>
      </c>
      <c r="D516" t="s">
        <v>66</v>
      </c>
      <c r="E516" t="s">
        <v>2092</v>
      </c>
      <c r="F516" t="s">
        <v>74</v>
      </c>
      <c r="G516">
        <v>116</v>
      </c>
      <c r="H516" t="s">
        <v>106</v>
      </c>
      <c r="I516">
        <v>4</v>
      </c>
      <c r="J516" t="str">
        <f>HYPERLINK("Gene1987-zp_tree_all.dnd", "Gene1987-tree")</f>
        <v>Gene1987-tree</v>
      </c>
      <c r="K516">
        <v>2</v>
      </c>
      <c r="L516">
        <v>2</v>
      </c>
      <c r="M516">
        <v>2</v>
      </c>
      <c r="N516">
        <v>2</v>
      </c>
      <c r="O516">
        <v>0.5</v>
      </c>
      <c r="P516" t="s">
        <v>124</v>
      </c>
      <c r="Q516" t="s">
        <v>124</v>
      </c>
      <c r="R516" t="s">
        <v>66</v>
      </c>
      <c r="S516" t="s">
        <v>66</v>
      </c>
      <c r="T516">
        <v>0</v>
      </c>
      <c r="U516">
        <v>0</v>
      </c>
      <c r="V516">
        <v>4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4</v>
      </c>
      <c r="AG516">
        <v>0</v>
      </c>
      <c r="AH516">
        <v>4</v>
      </c>
      <c r="AI516">
        <v>1</v>
      </c>
      <c r="AJ516">
        <v>18</v>
      </c>
      <c r="AK516">
        <v>4</v>
      </c>
      <c r="AL516">
        <v>1</v>
      </c>
      <c r="AM516">
        <v>0</v>
      </c>
      <c r="AN516" t="s">
        <v>2093</v>
      </c>
      <c r="AO516" t="s">
        <v>68</v>
      </c>
      <c r="AP516">
        <v>0.87</v>
      </c>
      <c r="AQ516" t="s">
        <v>69</v>
      </c>
      <c r="AR516">
        <v>19</v>
      </c>
      <c r="AS516">
        <v>4</v>
      </c>
      <c r="AT516">
        <v>3.1609999999999999E-2</v>
      </c>
      <c r="AU516">
        <v>-7.6299999999999996E-3</v>
      </c>
      <c r="AV516">
        <v>0.12193</v>
      </c>
      <c r="AW516">
        <v>-3.3300000000000003E-2</v>
      </c>
      <c r="AX516">
        <v>7.5900000000000004E-3</v>
      </c>
      <c r="AY516">
        <v>-1.8E-3</v>
      </c>
      <c r="AZ516">
        <v>6.2260000000000003E-2</v>
      </c>
      <c r="BA516">
        <v>1</v>
      </c>
      <c r="BB516" t="s">
        <v>70</v>
      </c>
      <c r="BC516">
        <v>8.5000000000000006E-2</v>
      </c>
      <c r="BD516">
        <v>-0.85399999999999998</v>
      </c>
      <c r="BE516" t="s">
        <v>71</v>
      </c>
    </row>
    <row r="517" spans="1:57">
      <c r="A517">
        <v>1994</v>
      </c>
      <c r="B517" t="s">
        <v>2096</v>
      </c>
      <c r="D517" t="s">
        <v>66</v>
      </c>
      <c r="E517" t="s">
        <v>2097</v>
      </c>
      <c r="F517" t="s">
        <v>521</v>
      </c>
      <c r="G517">
        <v>112</v>
      </c>
      <c r="H517" t="s">
        <v>85</v>
      </c>
      <c r="I517">
        <v>4</v>
      </c>
      <c r="J517" t="str">
        <f>HYPERLINK("Gene1994-zp_tree_all.dnd", "Gene1994-tree")</f>
        <v>Gene1994-tree</v>
      </c>
      <c r="K517">
        <v>3</v>
      </c>
      <c r="L517">
        <v>1</v>
      </c>
      <c r="M517">
        <v>3</v>
      </c>
      <c r="N517">
        <v>1</v>
      </c>
      <c r="O517">
        <v>0.25</v>
      </c>
      <c r="P517" t="s">
        <v>86</v>
      </c>
      <c r="Q517" t="s">
        <v>65</v>
      </c>
      <c r="R517" t="s">
        <v>66</v>
      </c>
      <c r="S517" t="s">
        <v>66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2</v>
      </c>
      <c r="AI517">
        <v>1</v>
      </c>
      <c r="AJ517">
        <v>13</v>
      </c>
      <c r="AK517">
        <v>2</v>
      </c>
      <c r="AL517">
        <v>1</v>
      </c>
      <c r="AM517">
        <v>0</v>
      </c>
      <c r="AN517" t="s">
        <v>2098</v>
      </c>
      <c r="AO517" t="s">
        <v>68</v>
      </c>
      <c r="AP517">
        <v>0.81100000000000005</v>
      </c>
      <c r="AQ517" t="s">
        <v>69</v>
      </c>
      <c r="AR517">
        <v>14</v>
      </c>
      <c r="AS517">
        <v>2</v>
      </c>
      <c r="AT517">
        <v>2.3519999999999999E-2</v>
      </c>
      <c r="AU517">
        <v>-7.9900000000000006E-3</v>
      </c>
      <c r="AV517">
        <v>0.10965999999999999</v>
      </c>
      <c r="AW517">
        <v>-3.705E-2</v>
      </c>
      <c r="AX517">
        <v>3.8300000000000001E-3</v>
      </c>
      <c r="AY517">
        <v>-1.56E-3</v>
      </c>
      <c r="AZ517">
        <v>3.4880000000000001E-2</v>
      </c>
      <c r="BA517">
        <v>1</v>
      </c>
      <c r="BB517" t="s">
        <v>70</v>
      </c>
      <c r="BC517">
        <v>-0.433</v>
      </c>
      <c r="BD517">
        <v>-1.054</v>
      </c>
      <c r="BE517" t="s">
        <v>71</v>
      </c>
    </row>
    <row r="518" spans="1:57">
      <c r="A518">
        <v>2003</v>
      </c>
      <c r="B518" t="s">
        <v>2108</v>
      </c>
      <c r="D518" t="s">
        <v>66</v>
      </c>
      <c r="E518" t="s">
        <v>2109</v>
      </c>
      <c r="F518" t="s">
        <v>2110</v>
      </c>
      <c r="G518">
        <v>273</v>
      </c>
      <c r="H518" t="s">
        <v>63</v>
      </c>
      <c r="I518">
        <v>5</v>
      </c>
      <c r="J518" t="str">
        <f>HYPERLINK("Gene2003-zp_tree_all.dnd", "Gene2003-tree")</f>
        <v>Gene2003-tree</v>
      </c>
      <c r="K518">
        <v>0</v>
      </c>
      <c r="L518">
        <v>5</v>
      </c>
      <c r="M518">
        <v>0</v>
      </c>
      <c r="N518">
        <v>5</v>
      </c>
      <c r="O518">
        <v>1</v>
      </c>
      <c r="P518" t="s">
        <v>66</v>
      </c>
      <c r="Q518" t="s">
        <v>96</v>
      </c>
      <c r="R518" t="s">
        <v>66</v>
      </c>
      <c r="S518" t="s">
        <v>66</v>
      </c>
      <c r="T518">
        <v>0</v>
      </c>
      <c r="U518">
        <v>0</v>
      </c>
      <c r="V518">
        <v>13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13</v>
      </c>
      <c r="AG518">
        <v>0</v>
      </c>
      <c r="AH518">
        <v>4</v>
      </c>
      <c r="AI518">
        <v>2</v>
      </c>
      <c r="AJ518">
        <v>24</v>
      </c>
      <c r="AK518">
        <v>6</v>
      </c>
      <c r="AL518">
        <v>22</v>
      </c>
      <c r="AM518">
        <v>7</v>
      </c>
      <c r="AN518" t="s">
        <v>2111</v>
      </c>
      <c r="AO518" t="s">
        <v>2112</v>
      </c>
      <c r="AP518">
        <v>0.40300000000000002</v>
      </c>
      <c r="AQ518" t="s">
        <v>69</v>
      </c>
      <c r="AR518">
        <v>46</v>
      </c>
      <c r="AS518">
        <v>13</v>
      </c>
      <c r="AT518">
        <v>3.5540000000000002E-2</v>
      </c>
      <c r="AU518">
        <v>-5.4599999999999996E-3</v>
      </c>
      <c r="AV518">
        <v>0.14312</v>
      </c>
      <c r="AW518">
        <v>-2.392E-2</v>
      </c>
      <c r="AX518">
        <v>1.04E-2</v>
      </c>
      <c r="AY518">
        <v>-1.47E-3</v>
      </c>
      <c r="AZ518">
        <v>7.2690000000000005E-2</v>
      </c>
      <c r="BA518">
        <v>1</v>
      </c>
      <c r="BB518" t="s">
        <v>70</v>
      </c>
      <c r="BC518">
        <v>0.45300000000000001</v>
      </c>
      <c r="BD518">
        <v>0.23200000000000001</v>
      </c>
      <c r="BE518" t="s">
        <v>71</v>
      </c>
    </row>
    <row r="519" spans="1:57">
      <c r="A519">
        <v>2004</v>
      </c>
      <c r="B519" t="s">
        <v>2113</v>
      </c>
      <c r="D519" t="s">
        <v>66</v>
      </c>
      <c r="E519" t="s">
        <v>2114</v>
      </c>
      <c r="F519" t="s">
        <v>2115</v>
      </c>
      <c r="G519">
        <v>233</v>
      </c>
      <c r="H519" t="s">
        <v>63</v>
      </c>
      <c r="I519">
        <v>5</v>
      </c>
      <c r="J519" t="str">
        <f>HYPERLINK("Gene2004-zp_tree_all.dnd", "Gene2004-tree")</f>
        <v>Gene2004-tree</v>
      </c>
      <c r="K519">
        <v>2</v>
      </c>
      <c r="L519">
        <v>3</v>
      </c>
      <c r="M519">
        <v>2</v>
      </c>
      <c r="N519">
        <v>3</v>
      </c>
      <c r="O519">
        <v>0.6</v>
      </c>
      <c r="P519" t="s">
        <v>124</v>
      </c>
      <c r="Q519" t="s">
        <v>86</v>
      </c>
      <c r="R519" t="s">
        <v>66</v>
      </c>
      <c r="S519" t="s">
        <v>66</v>
      </c>
      <c r="T519">
        <v>0</v>
      </c>
      <c r="U519">
        <v>0</v>
      </c>
      <c r="V519">
        <v>3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3</v>
      </c>
      <c r="AG519">
        <v>0</v>
      </c>
      <c r="AH519">
        <v>5</v>
      </c>
      <c r="AI519">
        <v>2</v>
      </c>
      <c r="AJ519">
        <v>31</v>
      </c>
      <c r="AK519">
        <v>3</v>
      </c>
      <c r="AL519">
        <v>15</v>
      </c>
      <c r="AM519">
        <v>0</v>
      </c>
      <c r="AN519" t="s">
        <v>2116</v>
      </c>
      <c r="AO519" t="s">
        <v>68</v>
      </c>
      <c r="AP519">
        <v>1.835</v>
      </c>
      <c r="AQ519" t="s">
        <v>69</v>
      </c>
      <c r="AR519">
        <v>46</v>
      </c>
      <c r="AS519">
        <v>3</v>
      </c>
      <c r="AT519">
        <v>3.1189999999999999E-2</v>
      </c>
      <c r="AU519">
        <v>-4.9800000000000001E-3</v>
      </c>
      <c r="AV519">
        <v>0.14147000000000001</v>
      </c>
      <c r="AW519">
        <v>-2.384E-2</v>
      </c>
      <c r="AX519">
        <v>2.2499999999999998E-3</v>
      </c>
      <c r="AY519">
        <v>-3.6000000000000002E-4</v>
      </c>
      <c r="AZ519">
        <v>1.5879999999999998E-2</v>
      </c>
      <c r="BA519">
        <v>1</v>
      </c>
      <c r="BB519" t="s">
        <v>70</v>
      </c>
      <c r="BC519">
        <v>-9.6000000000000002E-2</v>
      </c>
      <c r="BD519">
        <v>-0.23200000000000001</v>
      </c>
      <c r="BE519" t="s">
        <v>71</v>
      </c>
    </row>
    <row r="520" spans="1:57">
      <c r="A520">
        <v>2006</v>
      </c>
      <c r="B520" t="s">
        <v>2117</v>
      </c>
      <c r="D520" t="s">
        <v>66</v>
      </c>
      <c r="E520" t="s">
        <v>2118</v>
      </c>
      <c r="F520" t="s">
        <v>74</v>
      </c>
      <c r="G520">
        <v>104</v>
      </c>
      <c r="H520" t="s">
        <v>106</v>
      </c>
      <c r="I520">
        <v>4</v>
      </c>
      <c r="J520" t="str">
        <f>HYPERLINK("Gene2006-zp_tree_all.dnd", "Gene2006-tree")</f>
        <v>Gene2006-tree</v>
      </c>
      <c r="K520">
        <v>3</v>
      </c>
      <c r="L520">
        <v>1</v>
      </c>
      <c r="M520">
        <v>3</v>
      </c>
      <c r="N520">
        <v>1</v>
      </c>
      <c r="O520">
        <v>0.25</v>
      </c>
      <c r="P520" t="s">
        <v>86</v>
      </c>
      <c r="Q520" t="s">
        <v>65</v>
      </c>
      <c r="R520" t="s">
        <v>66</v>
      </c>
      <c r="S520" t="s">
        <v>66</v>
      </c>
      <c r="T520">
        <v>0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3</v>
      </c>
      <c r="AI520">
        <v>1</v>
      </c>
      <c r="AJ520">
        <v>13</v>
      </c>
      <c r="AK520">
        <v>1</v>
      </c>
      <c r="AL520">
        <v>1</v>
      </c>
      <c r="AM520">
        <v>0</v>
      </c>
      <c r="AN520" t="s">
        <v>2119</v>
      </c>
      <c r="AO520" t="s">
        <v>68</v>
      </c>
      <c r="AP520">
        <v>0.59299999999999997</v>
      </c>
      <c r="AQ520" t="s">
        <v>69</v>
      </c>
      <c r="AR520">
        <v>14</v>
      </c>
      <c r="AS520">
        <v>1</v>
      </c>
      <c r="AT520">
        <v>2.4570000000000002E-2</v>
      </c>
      <c r="AU520">
        <v>-6.6600000000000001E-3</v>
      </c>
      <c r="AV520">
        <v>0.11</v>
      </c>
      <c r="AW520">
        <v>-3.007E-2</v>
      </c>
      <c r="AX520">
        <v>2.0899999999999998E-3</v>
      </c>
      <c r="AY520">
        <v>-8.4999999999999995E-4</v>
      </c>
      <c r="AZ520">
        <v>1.9009999999999999E-2</v>
      </c>
      <c r="BA520">
        <v>1</v>
      </c>
      <c r="BB520" t="s">
        <v>70</v>
      </c>
      <c r="BC520">
        <v>-0.64</v>
      </c>
      <c r="BD520">
        <v>-0.64</v>
      </c>
      <c r="BE520" t="s">
        <v>71</v>
      </c>
    </row>
    <row r="521" spans="1:57">
      <c r="A521">
        <v>2010</v>
      </c>
      <c r="B521" t="s">
        <v>2125</v>
      </c>
      <c r="D521" t="s">
        <v>66</v>
      </c>
      <c r="E521" t="s">
        <v>2126</v>
      </c>
      <c r="F521" t="s">
        <v>74</v>
      </c>
      <c r="G521">
        <v>226</v>
      </c>
      <c r="H521" t="s">
        <v>63</v>
      </c>
      <c r="I521">
        <v>5</v>
      </c>
      <c r="J521" t="str">
        <f>HYPERLINK("Gene2010-zp_tree_all.dnd", "Gene2010-tree")</f>
        <v>Gene2010-tree</v>
      </c>
      <c r="K521">
        <v>3</v>
      </c>
      <c r="L521">
        <v>2</v>
      </c>
      <c r="M521">
        <v>3</v>
      </c>
      <c r="N521">
        <v>2</v>
      </c>
      <c r="O521">
        <v>0.4</v>
      </c>
      <c r="P521" t="s">
        <v>86</v>
      </c>
      <c r="Q521" t="s">
        <v>124</v>
      </c>
      <c r="R521" t="s">
        <v>66</v>
      </c>
      <c r="S521" t="s">
        <v>66</v>
      </c>
      <c r="T521">
        <v>0</v>
      </c>
      <c r="U521">
        <v>0</v>
      </c>
      <c r="V521">
        <v>5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4</v>
      </c>
      <c r="AG521">
        <v>0</v>
      </c>
      <c r="AH521">
        <v>5</v>
      </c>
      <c r="AI521">
        <v>2</v>
      </c>
      <c r="AJ521">
        <v>8</v>
      </c>
      <c r="AK521">
        <v>4</v>
      </c>
      <c r="AL521">
        <v>22</v>
      </c>
      <c r="AM521">
        <v>1</v>
      </c>
      <c r="AN521" t="s">
        <v>2127</v>
      </c>
      <c r="AO521" t="s">
        <v>2128</v>
      </c>
      <c r="AP521">
        <v>0.85699999999999998</v>
      </c>
      <c r="AQ521" t="s">
        <v>69</v>
      </c>
      <c r="AR521">
        <v>30</v>
      </c>
      <c r="AS521">
        <v>5</v>
      </c>
      <c r="AT521">
        <v>2.581E-2</v>
      </c>
      <c r="AU521">
        <v>-4.5300000000000002E-3</v>
      </c>
      <c r="AV521">
        <v>0.11959</v>
      </c>
      <c r="AW521">
        <v>-2.2429999999999999E-2</v>
      </c>
      <c r="AX521">
        <v>4.1200000000000004E-3</v>
      </c>
      <c r="AY521">
        <v>-9.5E-4</v>
      </c>
      <c r="AZ521">
        <v>3.4470000000000001E-2</v>
      </c>
      <c r="BA521">
        <v>1</v>
      </c>
      <c r="BB521" t="s">
        <v>70</v>
      </c>
      <c r="BC521">
        <v>1.0429999999999999</v>
      </c>
      <c r="BD521">
        <v>0.60399999999999998</v>
      </c>
      <c r="BE521" t="s">
        <v>71</v>
      </c>
    </row>
    <row r="522" spans="1:57">
      <c r="A522">
        <v>2215</v>
      </c>
      <c r="B522" t="s">
        <v>2129</v>
      </c>
      <c r="D522" t="s">
        <v>66</v>
      </c>
      <c r="E522" t="s">
        <v>2130</v>
      </c>
      <c r="F522" t="s">
        <v>2131</v>
      </c>
      <c r="G522">
        <v>177</v>
      </c>
      <c r="H522" t="s">
        <v>106</v>
      </c>
      <c r="I522">
        <v>4</v>
      </c>
      <c r="J522" t="str">
        <f>HYPERLINK("Gene2215-zp_tree_all.dnd", "Gene2215-tree")</f>
        <v>Gene2215-tree</v>
      </c>
      <c r="K522">
        <v>2</v>
      </c>
      <c r="L522">
        <v>2</v>
      </c>
      <c r="M522">
        <v>2</v>
      </c>
      <c r="N522">
        <v>2</v>
      </c>
      <c r="O522">
        <v>0.5</v>
      </c>
      <c r="P522" t="s">
        <v>124</v>
      </c>
      <c r="Q522" t="s">
        <v>124</v>
      </c>
      <c r="R522" t="s">
        <v>66</v>
      </c>
      <c r="S522" t="s">
        <v>66</v>
      </c>
      <c r="T522">
        <v>0</v>
      </c>
      <c r="U522">
        <v>0</v>
      </c>
      <c r="V522">
        <v>2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2</v>
      </c>
      <c r="AG522">
        <v>0</v>
      </c>
      <c r="AH522">
        <v>4</v>
      </c>
      <c r="AI522">
        <v>1</v>
      </c>
      <c r="AJ522">
        <v>25</v>
      </c>
      <c r="AK522">
        <v>2</v>
      </c>
      <c r="AL522">
        <v>1</v>
      </c>
      <c r="AM522">
        <v>0</v>
      </c>
      <c r="AN522" t="s">
        <v>2132</v>
      </c>
      <c r="AO522" t="s">
        <v>68</v>
      </c>
      <c r="AP522">
        <v>0.877</v>
      </c>
      <c r="AQ522" t="s">
        <v>69</v>
      </c>
      <c r="AR522">
        <v>26</v>
      </c>
      <c r="AS522">
        <v>2</v>
      </c>
      <c r="AT522">
        <v>2.5739999999999999E-2</v>
      </c>
      <c r="AU522">
        <v>-6.43E-3</v>
      </c>
      <c r="AV522">
        <v>0.12121999999999999</v>
      </c>
      <c r="AW522">
        <v>-3.2809999999999999E-2</v>
      </c>
      <c r="AX522">
        <v>2.4199999999999998E-3</v>
      </c>
      <c r="AY522">
        <v>-5.6999999999999998E-4</v>
      </c>
      <c r="AZ522">
        <v>1.9970000000000002E-2</v>
      </c>
      <c r="BA522">
        <v>1</v>
      </c>
      <c r="BB522" t="s">
        <v>70</v>
      </c>
      <c r="BC522">
        <v>-0.375</v>
      </c>
      <c r="BD522">
        <v>-0.73799999999999999</v>
      </c>
      <c r="BE522" t="s">
        <v>71</v>
      </c>
    </row>
    <row r="523" spans="1:57">
      <c r="A523">
        <v>2222</v>
      </c>
      <c r="B523" t="s">
        <v>2139</v>
      </c>
      <c r="D523" t="s">
        <v>66</v>
      </c>
      <c r="E523" t="s">
        <v>2140</v>
      </c>
      <c r="F523" t="s">
        <v>74</v>
      </c>
      <c r="G523">
        <v>83</v>
      </c>
      <c r="H523" t="s">
        <v>63</v>
      </c>
      <c r="I523">
        <v>5</v>
      </c>
      <c r="J523" t="str">
        <f>HYPERLINK("Gene2222-zp_tree_all.dnd", "Gene2222-tree")</f>
        <v>Gene2222-tree</v>
      </c>
      <c r="K523">
        <v>2</v>
      </c>
      <c r="L523">
        <v>3</v>
      </c>
      <c r="M523">
        <v>2</v>
      </c>
      <c r="N523">
        <v>2</v>
      </c>
      <c r="O523">
        <v>0.5</v>
      </c>
      <c r="P523" t="s">
        <v>124</v>
      </c>
      <c r="Q523" t="s">
        <v>185</v>
      </c>
      <c r="R523">
        <v>0.30599999999999999</v>
      </c>
      <c r="S523" t="s">
        <v>69</v>
      </c>
      <c r="T523">
        <v>1</v>
      </c>
      <c r="U523">
        <v>2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2</v>
      </c>
      <c r="AE523">
        <v>2</v>
      </c>
      <c r="AF523">
        <v>0</v>
      </c>
      <c r="AG523">
        <v>1</v>
      </c>
      <c r="AH523">
        <v>3</v>
      </c>
      <c r="AI523">
        <v>1</v>
      </c>
      <c r="AJ523">
        <v>2</v>
      </c>
      <c r="AK523">
        <v>2</v>
      </c>
      <c r="AL523">
        <v>1</v>
      </c>
      <c r="AM523">
        <v>0</v>
      </c>
      <c r="AN523" t="s">
        <v>2141</v>
      </c>
      <c r="AO523" t="s">
        <v>68</v>
      </c>
      <c r="AP523">
        <v>1.732</v>
      </c>
      <c r="AQ523" t="s">
        <v>69</v>
      </c>
      <c r="AR523">
        <v>3</v>
      </c>
      <c r="AS523">
        <v>2</v>
      </c>
      <c r="AT523">
        <v>1.0710000000000001E-2</v>
      </c>
      <c r="AU523">
        <v>-1.5499999999999999E-3</v>
      </c>
      <c r="AV523">
        <v>3.4979999999999997E-2</v>
      </c>
      <c r="AW523">
        <v>-6.5500000000000003E-3</v>
      </c>
      <c r="AX523">
        <v>5.0200000000000002E-3</v>
      </c>
      <c r="AY523">
        <v>-8.4000000000000003E-4</v>
      </c>
      <c r="AZ523">
        <v>0.14358000000000001</v>
      </c>
      <c r="BA523">
        <v>0.98399999999999999</v>
      </c>
      <c r="BB523" t="s">
        <v>70</v>
      </c>
      <c r="BC523">
        <v>0.56200000000000006</v>
      </c>
      <c r="BD523">
        <v>0.56200000000000006</v>
      </c>
      <c r="BE523" t="s">
        <v>71</v>
      </c>
    </row>
    <row r="524" spans="1:57">
      <c r="A524">
        <v>2223</v>
      </c>
      <c r="B524" t="s">
        <v>2142</v>
      </c>
      <c r="D524" t="s">
        <v>66</v>
      </c>
      <c r="E524" t="s">
        <v>2143</v>
      </c>
      <c r="F524" t="s">
        <v>2144</v>
      </c>
      <c r="G524">
        <v>422</v>
      </c>
      <c r="H524" t="s">
        <v>63</v>
      </c>
      <c r="I524">
        <v>5</v>
      </c>
      <c r="J524" t="str">
        <f>HYPERLINK("Gene2223-zp_tree_all.dnd", "Gene2223-tree")</f>
        <v>Gene2223-tree</v>
      </c>
      <c r="K524">
        <v>0</v>
      </c>
      <c r="L524">
        <v>5</v>
      </c>
      <c r="M524">
        <v>0</v>
      </c>
      <c r="N524">
        <v>5</v>
      </c>
      <c r="O524">
        <v>1</v>
      </c>
      <c r="P524" t="s">
        <v>66</v>
      </c>
      <c r="Q524" t="s">
        <v>96</v>
      </c>
      <c r="R524" t="s">
        <v>66</v>
      </c>
      <c r="S524" t="s">
        <v>66</v>
      </c>
      <c r="T524">
        <v>0</v>
      </c>
      <c r="U524">
        <v>0</v>
      </c>
      <c r="V524">
        <v>12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12</v>
      </c>
      <c r="AG524">
        <v>0</v>
      </c>
      <c r="AH524">
        <v>5</v>
      </c>
      <c r="AI524">
        <v>2</v>
      </c>
      <c r="AJ524">
        <v>37</v>
      </c>
      <c r="AK524">
        <v>7</v>
      </c>
      <c r="AL524">
        <v>38</v>
      </c>
      <c r="AM524">
        <v>6</v>
      </c>
      <c r="AN524" t="s">
        <v>2145</v>
      </c>
      <c r="AO524" t="s">
        <v>2146</v>
      </c>
      <c r="AP524">
        <v>0.67300000000000004</v>
      </c>
      <c r="AQ524" t="s">
        <v>69</v>
      </c>
      <c r="AR524">
        <v>75</v>
      </c>
      <c r="AS524">
        <v>13</v>
      </c>
      <c r="AT524">
        <v>3.2620000000000003E-2</v>
      </c>
      <c r="AU524">
        <v>-4.5799999999999999E-3</v>
      </c>
      <c r="AV524">
        <v>0.13699</v>
      </c>
      <c r="AW524">
        <v>-2.1510000000000001E-2</v>
      </c>
      <c r="AX524">
        <v>6.5500000000000003E-3</v>
      </c>
      <c r="AY524">
        <v>-7.2999999999999996E-4</v>
      </c>
      <c r="AZ524">
        <v>4.7840000000000001E-2</v>
      </c>
      <c r="BA524">
        <v>1</v>
      </c>
      <c r="BB524" t="s">
        <v>70</v>
      </c>
      <c r="BC524">
        <v>0.78200000000000003</v>
      </c>
      <c r="BD524">
        <v>0.316</v>
      </c>
      <c r="BE524" t="s">
        <v>71</v>
      </c>
    </row>
    <row r="525" spans="1:57">
      <c r="A525">
        <v>2242</v>
      </c>
      <c r="B525" t="s">
        <v>2157</v>
      </c>
      <c r="D525" t="s">
        <v>66</v>
      </c>
      <c r="E525" t="s">
        <v>2158</v>
      </c>
      <c r="F525" t="s">
        <v>74</v>
      </c>
      <c r="G525">
        <v>60</v>
      </c>
      <c r="H525" t="s">
        <v>63</v>
      </c>
      <c r="I525">
        <v>5</v>
      </c>
      <c r="J525" t="str">
        <f>HYPERLINK("Gene2242-zp_tree_all.dnd", "Gene2242-tree")</f>
        <v>Gene2242-tree</v>
      </c>
      <c r="K525">
        <v>3</v>
      </c>
      <c r="L525">
        <v>2</v>
      </c>
      <c r="M525">
        <v>3</v>
      </c>
      <c r="N525">
        <v>2</v>
      </c>
      <c r="O525">
        <v>0.4</v>
      </c>
      <c r="P525" t="s">
        <v>86</v>
      </c>
      <c r="Q525" t="s">
        <v>124</v>
      </c>
      <c r="R525" t="s">
        <v>66</v>
      </c>
      <c r="S525" t="s">
        <v>66</v>
      </c>
      <c r="T525">
        <v>0</v>
      </c>
      <c r="U525">
        <v>0</v>
      </c>
      <c r="V525">
        <v>2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2</v>
      </c>
      <c r="AG525">
        <v>0</v>
      </c>
      <c r="AH525">
        <v>3</v>
      </c>
      <c r="AI525">
        <v>1</v>
      </c>
      <c r="AJ525">
        <v>4</v>
      </c>
      <c r="AK525">
        <v>1</v>
      </c>
      <c r="AL525">
        <v>2</v>
      </c>
      <c r="AM525">
        <v>2</v>
      </c>
      <c r="AN525" t="s">
        <v>2159</v>
      </c>
      <c r="AO525" t="s">
        <v>2160</v>
      </c>
      <c r="AP525">
        <v>2.419</v>
      </c>
      <c r="AQ525" t="s">
        <v>69</v>
      </c>
      <c r="AR525">
        <v>6</v>
      </c>
      <c r="AS525">
        <v>3</v>
      </c>
      <c r="AT525">
        <v>2.486E-2</v>
      </c>
      <c r="AU525">
        <v>-4.0099999999999997E-3</v>
      </c>
      <c r="AV525">
        <v>8.7819999999999995E-2</v>
      </c>
      <c r="AW525">
        <v>-1.302E-2</v>
      </c>
      <c r="AX525">
        <v>1.1339999999999999E-2</v>
      </c>
      <c r="AY525">
        <v>-2.6900000000000001E-3</v>
      </c>
      <c r="AZ525">
        <v>0.12909999999999999</v>
      </c>
      <c r="BA525">
        <v>0.97799999999999998</v>
      </c>
      <c r="BB525" t="s">
        <v>70</v>
      </c>
      <c r="BC525">
        <v>0.13200000000000001</v>
      </c>
      <c r="BD525">
        <v>0.13200000000000001</v>
      </c>
      <c r="BE525" t="s">
        <v>71</v>
      </c>
    </row>
    <row r="526" spans="1:57">
      <c r="A526">
        <v>2248</v>
      </c>
      <c r="B526" t="s">
        <v>2168</v>
      </c>
      <c r="D526" t="s">
        <v>66</v>
      </c>
      <c r="E526" t="s">
        <v>2169</v>
      </c>
      <c r="F526" t="s">
        <v>74</v>
      </c>
      <c r="G526">
        <v>48</v>
      </c>
      <c r="H526" t="s">
        <v>63</v>
      </c>
      <c r="I526">
        <v>5</v>
      </c>
      <c r="J526" t="str">
        <f>HYPERLINK("Gene2248-zp_tree_all.dnd", "Gene2248-tree")</f>
        <v>Gene2248-tree</v>
      </c>
      <c r="K526">
        <v>5</v>
      </c>
      <c r="L526">
        <v>0</v>
      </c>
      <c r="M526">
        <v>4</v>
      </c>
      <c r="N526">
        <v>0</v>
      </c>
      <c r="O526">
        <v>0</v>
      </c>
      <c r="P526" t="s">
        <v>135</v>
      </c>
      <c r="Q526" t="s">
        <v>66</v>
      </c>
      <c r="R526" t="s">
        <v>66</v>
      </c>
      <c r="S526" t="s">
        <v>66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2</v>
      </c>
      <c r="AI526">
        <v>1</v>
      </c>
      <c r="AJ526">
        <v>3</v>
      </c>
      <c r="AK526">
        <v>0</v>
      </c>
      <c r="AL526">
        <v>2</v>
      </c>
      <c r="AM526">
        <v>0</v>
      </c>
      <c r="AN526" t="s">
        <v>68</v>
      </c>
      <c r="AO526" t="s">
        <v>68</v>
      </c>
      <c r="AP526">
        <v>0</v>
      </c>
      <c r="AQ526" t="s">
        <v>69</v>
      </c>
      <c r="AR526">
        <v>5</v>
      </c>
      <c r="AS526">
        <v>0</v>
      </c>
      <c r="AT526">
        <v>2.009E-2</v>
      </c>
      <c r="AU526">
        <v>-3.8899999999999998E-3</v>
      </c>
      <c r="AV526">
        <v>0.10728</v>
      </c>
      <c r="AW526">
        <v>-2.222E-2</v>
      </c>
      <c r="AX526">
        <v>0</v>
      </c>
      <c r="AY526">
        <v>0</v>
      </c>
      <c r="AZ526">
        <v>0</v>
      </c>
      <c r="BA526">
        <v>1</v>
      </c>
      <c r="BB526" t="s">
        <v>70</v>
      </c>
      <c r="BC526">
        <v>0</v>
      </c>
      <c r="BD526">
        <v>0</v>
      </c>
      <c r="BE526" t="s">
        <v>71</v>
      </c>
    </row>
    <row r="527" spans="1:57">
      <c r="A527">
        <v>2284</v>
      </c>
      <c r="B527" t="s">
        <v>2188</v>
      </c>
      <c r="D527" t="s">
        <v>66</v>
      </c>
      <c r="E527" t="s">
        <v>2189</v>
      </c>
      <c r="F527" t="s">
        <v>2190</v>
      </c>
      <c r="G527">
        <v>430</v>
      </c>
      <c r="H527" t="s">
        <v>63</v>
      </c>
      <c r="I527">
        <v>5</v>
      </c>
      <c r="J527" t="str">
        <f>HYPERLINK("Gene2284-zp_tree_all.dnd", "Gene2284-tree")</f>
        <v>Gene2284-tree</v>
      </c>
      <c r="K527">
        <v>4</v>
      </c>
      <c r="L527">
        <v>1</v>
      </c>
      <c r="M527">
        <v>4</v>
      </c>
      <c r="N527">
        <v>1</v>
      </c>
      <c r="O527">
        <v>0.2</v>
      </c>
      <c r="P527" t="s">
        <v>64</v>
      </c>
      <c r="Q527" t="s">
        <v>65</v>
      </c>
      <c r="R527" t="s">
        <v>66</v>
      </c>
      <c r="S527" t="s">
        <v>66</v>
      </c>
      <c r="T527">
        <v>0</v>
      </c>
      <c r="U527">
        <v>0</v>
      </c>
      <c r="V527">
        <v>8</v>
      </c>
      <c r="W527">
        <v>0</v>
      </c>
      <c r="X527">
        <v>0</v>
      </c>
      <c r="Y527">
        <v>0</v>
      </c>
      <c r="Z527">
        <v>0</v>
      </c>
      <c r="AA527">
        <v>5</v>
      </c>
      <c r="AB527">
        <v>0</v>
      </c>
      <c r="AC527">
        <v>0</v>
      </c>
      <c r="AD527">
        <v>0</v>
      </c>
      <c r="AE527">
        <v>0</v>
      </c>
      <c r="AF527">
        <v>3</v>
      </c>
      <c r="AG527">
        <v>0</v>
      </c>
      <c r="AH527">
        <v>5</v>
      </c>
      <c r="AI527">
        <v>2</v>
      </c>
      <c r="AJ527">
        <v>29</v>
      </c>
      <c r="AK527">
        <v>3</v>
      </c>
      <c r="AL527">
        <v>43</v>
      </c>
      <c r="AM527">
        <v>5</v>
      </c>
      <c r="AN527" t="s">
        <v>2191</v>
      </c>
      <c r="AO527" t="s">
        <v>2192</v>
      </c>
      <c r="AP527">
        <v>1.4999999999999999E-2</v>
      </c>
      <c r="AQ527" t="s">
        <v>69</v>
      </c>
      <c r="AR527">
        <v>72</v>
      </c>
      <c r="AS527">
        <v>8</v>
      </c>
      <c r="AT527">
        <v>3.1780000000000003E-2</v>
      </c>
      <c r="AU527">
        <v>-6.2700000000000004E-3</v>
      </c>
      <c r="AV527">
        <v>0.14285</v>
      </c>
      <c r="AW527">
        <v>-2.8850000000000001E-2</v>
      </c>
      <c r="AX527">
        <v>4.2399999999999998E-3</v>
      </c>
      <c r="AY527">
        <v>-1.01E-3</v>
      </c>
      <c r="AZ527">
        <v>2.9700000000000001E-2</v>
      </c>
      <c r="BA527">
        <v>1</v>
      </c>
      <c r="BB527" t="s">
        <v>70</v>
      </c>
      <c r="BC527">
        <v>0.80800000000000005</v>
      </c>
      <c r="BD527">
        <v>0.624</v>
      </c>
      <c r="BE527" t="s">
        <v>71</v>
      </c>
    </row>
    <row r="528" spans="1:57">
      <c r="A528">
        <v>2286</v>
      </c>
      <c r="B528" t="s">
        <v>2193</v>
      </c>
      <c r="D528" t="s">
        <v>66</v>
      </c>
      <c r="E528" t="s">
        <v>2194</v>
      </c>
      <c r="F528" t="s">
        <v>74</v>
      </c>
      <c r="G528">
        <v>161</v>
      </c>
      <c r="H528" t="s">
        <v>63</v>
      </c>
      <c r="I528">
        <v>5</v>
      </c>
      <c r="J528" t="str">
        <f>HYPERLINK("Gene2286-zp_tree_all.dnd", "Gene2286-tree")</f>
        <v>Gene2286-tree</v>
      </c>
      <c r="K528">
        <v>1</v>
      </c>
      <c r="L528">
        <v>4</v>
      </c>
      <c r="M528">
        <v>1</v>
      </c>
      <c r="N528">
        <v>3</v>
      </c>
      <c r="O528">
        <v>0.75</v>
      </c>
      <c r="P528" t="s">
        <v>65</v>
      </c>
      <c r="Q528" t="s">
        <v>112</v>
      </c>
      <c r="R528">
        <v>5</v>
      </c>
      <c r="S528" t="s">
        <v>239</v>
      </c>
      <c r="T528">
        <v>0</v>
      </c>
      <c r="U528">
        <v>0</v>
      </c>
      <c r="V528">
        <v>6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0</v>
      </c>
      <c r="AC528">
        <v>0</v>
      </c>
      <c r="AD528">
        <v>0</v>
      </c>
      <c r="AE528">
        <v>0</v>
      </c>
      <c r="AF528">
        <v>3</v>
      </c>
      <c r="AG528">
        <v>0</v>
      </c>
      <c r="AH528">
        <v>4</v>
      </c>
      <c r="AI528">
        <v>1</v>
      </c>
      <c r="AJ528">
        <v>4</v>
      </c>
      <c r="AK528">
        <v>3</v>
      </c>
      <c r="AL528">
        <v>10</v>
      </c>
      <c r="AM528">
        <v>3</v>
      </c>
      <c r="AN528" t="s">
        <v>2195</v>
      </c>
      <c r="AO528" t="s">
        <v>2196</v>
      </c>
      <c r="AP528">
        <v>1.4830000000000001</v>
      </c>
      <c r="AQ528" t="s">
        <v>69</v>
      </c>
      <c r="AR528">
        <v>14</v>
      </c>
      <c r="AS528">
        <v>6</v>
      </c>
      <c r="AT528">
        <v>2.5190000000000001E-2</v>
      </c>
      <c r="AU528">
        <v>-5.2399999999999999E-3</v>
      </c>
      <c r="AV528">
        <v>8.5260000000000002E-2</v>
      </c>
      <c r="AW528">
        <v>-1.9539999999999998E-2</v>
      </c>
      <c r="AX528">
        <v>9.4400000000000005E-3</v>
      </c>
      <c r="AY528">
        <v>-1.66E-3</v>
      </c>
      <c r="AZ528">
        <v>0.11071</v>
      </c>
      <c r="BA528">
        <v>1</v>
      </c>
      <c r="BB528" t="s">
        <v>70</v>
      </c>
      <c r="BC528">
        <v>0.92400000000000004</v>
      </c>
      <c r="BD528">
        <v>0.92400000000000004</v>
      </c>
      <c r="BE528" t="s">
        <v>71</v>
      </c>
    </row>
    <row r="529" spans="1:57">
      <c r="A529">
        <v>2289</v>
      </c>
      <c r="B529" t="s">
        <v>2199</v>
      </c>
      <c r="D529" t="s">
        <v>66</v>
      </c>
      <c r="E529" t="s">
        <v>2200</v>
      </c>
      <c r="F529" t="s">
        <v>2201</v>
      </c>
      <c r="G529">
        <v>127</v>
      </c>
      <c r="H529" t="s">
        <v>63</v>
      </c>
      <c r="I529">
        <v>5</v>
      </c>
      <c r="J529" t="str">
        <f>HYPERLINK("Gene2289-zp_tree_all.dnd", "Gene2289-tree")</f>
        <v>Gene2289-tree</v>
      </c>
      <c r="K529">
        <v>5</v>
      </c>
      <c r="L529">
        <v>0</v>
      </c>
      <c r="M529">
        <v>5</v>
      </c>
      <c r="N529">
        <v>0</v>
      </c>
      <c r="O529">
        <v>0</v>
      </c>
      <c r="P529" t="s">
        <v>96</v>
      </c>
      <c r="Q529" t="s">
        <v>66</v>
      </c>
      <c r="R529" t="s">
        <v>66</v>
      </c>
      <c r="S529" t="s">
        <v>66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4</v>
      </c>
      <c r="AI529">
        <v>2</v>
      </c>
      <c r="AJ529">
        <v>10</v>
      </c>
      <c r="AK529">
        <v>0</v>
      </c>
      <c r="AL529">
        <v>11</v>
      </c>
      <c r="AM529">
        <v>0</v>
      </c>
      <c r="AN529" t="s">
        <v>68</v>
      </c>
      <c r="AO529" t="s">
        <v>68</v>
      </c>
      <c r="AP529">
        <v>0</v>
      </c>
      <c r="AQ529" t="s">
        <v>69</v>
      </c>
      <c r="AR529">
        <v>21</v>
      </c>
      <c r="AS529">
        <v>0</v>
      </c>
      <c r="AT529">
        <v>2.7820000000000001E-2</v>
      </c>
      <c r="AU529">
        <v>-5.0499999999999998E-3</v>
      </c>
      <c r="AV529">
        <v>0.13963999999999999</v>
      </c>
      <c r="AW529">
        <v>-2.665E-2</v>
      </c>
      <c r="AX529">
        <v>0</v>
      </c>
      <c r="AY529">
        <v>0</v>
      </c>
      <c r="AZ529">
        <v>0</v>
      </c>
      <c r="BA529">
        <v>1</v>
      </c>
      <c r="BB529" t="s">
        <v>70</v>
      </c>
      <c r="BC529">
        <v>0.38200000000000001</v>
      </c>
      <c r="BD529">
        <v>0.38200000000000001</v>
      </c>
      <c r="BE529" t="s">
        <v>71</v>
      </c>
    </row>
    <row r="530" spans="1:57">
      <c r="A530">
        <v>2291</v>
      </c>
      <c r="B530" t="s">
        <v>2202</v>
      </c>
      <c r="D530" t="s">
        <v>66</v>
      </c>
      <c r="E530" t="s">
        <v>2203</v>
      </c>
      <c r="F530" t="s">
        <v>2204</v>
      </c>
      <c r="G530">
        <v>277</v>
      </c>
      <c r="H530" t="s">
        <v>63</v>
      </c>
      <c r="I530">
        <v>5</v>
      </c>
      <c r="J530" t="str">
        <f>HYPERLINK("Gene2291-zp_tree_all.dnd", "Gene2291-tree")</f>
        <v>Gene2291-tree</v>
      </c>
      <c r="K530">
        <v>3</v>
      </c>
      <c r="L530">
        <v>2</v>
      </c>
      <c r="M530">
        <v>3</v>
      </c>
      <c r="N530">
        <v>2</v>
      </c>
      <c r="O530">
        <v>0.4</v>
      </c>
      <c r="P530" t="s">
        <v>86</v>
      </c>
      <c r="Q530" t="s">
        <v>124</v>
      </c>
      <c r="R530" t="s">
        <v>66</v>
      </c>
      <c r="S530" t="s">
        <v>66</v>
      </c>
      <c r="T530">
        <v>0</v>
      </c>
      <c r="U530">
        <v>0</v>
      </c>
      <c r="V530">
        <v>6</v>
      </c>
      <c r="W530">
        <v>0</v>
      </c>
      <c r="X530">
        <v>0</v>
      </c>
      <c r="Y530">
        <v>0</v>
      </c>
      <c r="Z530">
        <v>0</v>
      </c>
      <c r="AA530">
        <v>2</v>
      </c>
      <c r="AB530">
        <v>0</v>
      </c>
      <c r="AC530">
        <v>0</v>
      </c>
      <c r="AD530">
        <v>0</v>
      </c>
      <c r="AE530">
        <v>0</v>
      </c>
      <c r="AF530">
        <v>4</v>
      </c>
      <c r="AG530">
        <v>0</v>
      </c>
      <c r="AH530">
        <v>5</v>
      </c>
      <c r="AI530">
        <v>2</v>
      </c>
      <c r="AJ530">
        <v>19</v>
      </c>
      <c r="AK530">
        <v>4</v>
      </c>
      <c r="AL530">
        <v>26</v>
      </c>
      <c r="AM530">
        <v>3</v>
      </c>
      <c r="AN530" t="s">
        <v>2205</v>
      </c>
      <c r="AO530" t="s">
        <v>2206</v>
      </c>
      <c r="AP530">
        <v>0.38100000000000001</v>
      </c>
      <c r="AQ530" t="s">
        <v>69</v>
      </c>
      <c r="AR530">
        <v>45</v>
      </c>
      <c r="AS530">
        <v>7</v>
      </c>
      <c r="AT530">
        <v>3.1050000000000001E-2</v>
      </c>
      <c r="AU530">
        <v>-5.7600000000000004E-3</v>
      </c>
      <c r="AV530">
        <v>0.12778999999999999</v>
      </c>
      <c r="AW530">
        <v>-2.4549999999999999E-2</v>
      </c>
      <c r="AX530">
        <v>5.3899999999999998E-3</v>
      </c>
      <c r="AY530">
        <v>-1.1299999999999999E-3</v>
      </c>
      <c r="AZ530">
        <v>4.2139999999999997E-2</v>
      </c>
      <c r="BA530">
        <v>1</v>
      </c>
      <c r="BB530" t="s">
        <v>70</v>
      </c>
      <c r="BC530">
        <v>0.73099999999999998</v>
      </c>
      <c r="BD530">
        <v>0.60299999999999998</v>
      </c>
      <c r="BE530" t="s">
        <v>71</v>
      </c>
    </row>
    <row r="531" spans="1:57">
      <c r="A531">
        <v>2296</v>
      </c>
      <c r="B531" t="s">
        <v>2207</v>
      </c>
      <c r="D531" t="s">
        <v>66</v>
      </c>
      <c r="E531" t="s">
        <v>2208</v>
      </c>
      <c r="F531" t="s">
        <v>2209</v>
      </c>
      <c r="G531">
        <v>137</v>
      </c>
      <c r="H531" t="s">
        <v>63</v>
      </c>
      <c r="I531">
        <v>5</v>
      </c>
      <c r="J531" t="str">
        <f>HYPERLINK("Gene2296-zp_tree_all.dnd", "Gene2296-tree")</f>
        <v>Gene2296-tree</v>
      </c>
      <c r="K531">
        <v>4</v>
      </c>
      <c r="L531">
        <v>1</v>
      </c>
      <c r="M531">
        <v>4</v>
      </c>
      <c r="N531">
        <v>1</v>
      </c>
      <c r="O531">
        <v>0.2</v>
      </c>
      <c r="P531" t="s">
        <v>64</v>
      </c>
      <c r="Q531" t="s">
        <v>65</v>
      </c>
      <c r="R531" t="s">
        <v>66</v>
      </c>
      <c r="S531" t="s">
        <v>66</v>
      </c>
      <c r="T531">
        <v>0</v>
      </c>
      <c r="U531">
        <v>0</v>
      </c>
      <c r="V531">
        <v>3</v>
      </c>
      <c r="W531">
        <v>0</v>
      </c>
      <c r="X531">
        <v>0</v>
      </c>
      <c r="Y531">
        <v>0</v>
      </c>
      <c r="Z531">
        <v>0</v>
      </c>
      <c r="AA531">
        <v>2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5</v>
      </c>
      <c r="AI531">
        <v>2</v>
      </c>
      <c r="AJ531">
        <v>12</v>
      </c>
      <c r="AK531">
        <v>1</v>
      </c>
      <c r="AL531">
        <v>8</v>
      </c>
      <c r="AM531">
        <v>2</v>
      </c>
      <c r="AN531" t="s">
        <v>2210</v>
      </c>
      <c r="AO531" t="s">
        <v>2211</v>
      </c>
      <c r="AP531">
        <v>0.51</v>
      </c>
      <c r="AQ531" t="s">
        <v>69</v>
      </c>
      <c r="AR531">
        <v>20</v>
      </c>
      <c r="AS531">
        <v>3</v>
      </c>
      <c r="AT531">
        <v>2.725E-2</v>
      </c>
      <c r="AU531">
        <v>-3.8899999999999998E-3</v>
      </c>
      <c r="AV531">
        <v>0.10621999999999999</v>
      </c>
      <c r="AW531">
        <v>-1.558E-2</v>
      </c>
      <c r="AX531">
        <v>5.1399999999999996E-3</v>
      </c>
      <c r="AY531">
        <v>-8.9999999999999998E-4</v>
      </c>
      <c r="AZ531">
        <v>4.8410000000000002E-2</v>
      </c>
      <c r="BA531">
        <v>1</v>
      </c>
      <c r="BB531" t="s">
        <v>70</v>
      </c>
      <c r="BC531">
        <v>0.108</v>
      </c>
      <c r="BD531">
        <v>0.108</v>
      </c>
      <c r="BE531" t="s">
        <v>71</v>
      </c>
    </row>
    <row r="532" spans="1:57">
      <c r="A532">
        <v>2298</v>
      </c>
      <c r="B532" t="s">
        <v>2212</v>
      </c>
      <c r="D532" t="s">
        <v>66</v>
      </c>
      <c r="E532" t="s">
        <v>2213</v>
      </c>
      <c r="F532" t="s">
        <v>74</v>
      </c>
      <c r="G532">
        <v>111</v>
      </c>
      <c r="H532" t="s">
        <v>63</v>
      </c>
      <c r="I532">
        <v>5</v>
      </c>
      <c r="J532" t="str">
        <f>HYPERLINK("Gene2298-zp_tree_all.dnd", "Gene2298-tree")</f>
        <v>Gene2298-tree</v>
      </c>
      <c r="K532">
        <v>3</v>
      </c>
      <c r="L532">
        <v>2</v>
      </c>
      <c r="M532">
        <v>3</v>
      </c>
      <c r="N532">
        <v>2</v>
      </c>
      <c r="O532">
        <v>0.4</v>
      </c>
      <c r="P532" t="s">
        <v>86</v>
      </c>
      <c r="Q532" t="s">
        <v>124</v>
      </c>
      <c r="R532" t="s">
        <v>66</v>
      </c>
      <c r="S532" t="s">
        <v>66</v>
      </c>
      <c r="T532">
        <v>0</v>
      </c>
      <c r="U532">
        <v>0</v>
      </c>
      <c r="V532">
        <v>3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2</v>
      </c>
      <c r="AG532">
        <v>0</v>
      </c>
      <c r="AH532">
        <v>4</v>
      </c>
      <c r="AI532">
        <v>2</v>
      </c>
      <c r="AJ532">
        <v>8</v>
      </c>
      <c r="AK532">
        <v>2</v>
      </c>
      <c r="AL532">
        <v>7</v>
      </c>
      <c r="AM532">
        <v>1</v>
      </c>
      <c r="AN532" t="s">
        <v>2214</v>
      </c>
      <c r="AO532" t="s">
        <v>2215</v>
      </c>
      <c r="AP532">
        <v>0.48799999999999999</v>
      </c>
      <c r="AQ532" t="s">
        <v>69</v>
      </c>
      <c r="AR532">
        <v>15</v>
      </c>
      <c r="AS532">
        <v>3</v>
      </c>
      <c r="AT532">
        <v>2.4920000000000001E-2</v>
      </c>
      <c r="AU532">
        <v>-3.32E-3</v>
      </c>
      <c r="AV532">
        <v>0.11230999999999999</v>
      </c>
      <c r="AW532">
        <v>-1.7350000000000001E-2</v>
      </c>
      <c r="AX532">
        <v>5.2900000000000004E-3</v>
      </c>
      <c r="AY532">
        <v>-5.9000000000000003E-4</v>
      </c>
      <c r="AZ532">
        <v>4.7109999999999999E-2</v>
      </c>
      <c r="BA532">
        <v>1</v>
      </c>
      <c r="BB532" t="s">
        <v>70</v>
      </c>
      <c r="BC532">
        <v>0.59199999999999997</v>
      </c>
      <c r="BD532">
        <v>-0.26700000000000002</v>
      </c>
      <c r="BE532" t="s">
        <v>71</v>
      </c>
    </row>
    <row r="533" spans="1:57">
      <c r="A533">
        <v>2302</v>
      </c>
      <c r="B533" t="s">
        <v>2216</v>
      </c>
      <c r="D533" t="s">
        <v>66</v>
      </c>
      <c r="E533" t="s">
        <v>2217</v>
      </c>
      <c r="F533" t="s">
        <v>2218</v>
      </c>
      <c r="G533">
        <v>255</v>
      </c>
      <c r="H533" t="s">
        <v>106</v>
      </c>
      <c r="I533">
        <v>4</v>
      </c>
      <c r="J533" t="str">
        <f>HYPERLINK("Gene2302-zp_tree_all.dnd", "Gene2302-tree")</f>
        <v>Gene2302-tree</v>
      </c>
      <c r="K533">
        <v>3</v>
      </c>
      <c r="L533">
        <v>1</v>
      </c>
      <c r="M533">
        <v>3</v>
      </c>
      <c r="N533">
        <v>1</v>
      </c>
      <c r="O533">
        <v>0.25</v>
      </c>
      <c r="P533" t="s">
        <v>86</v>
      </c>
      <c r="Q533" t="s">
        <v>65</v>
      </c>
      <c r="R533" t="s">
        <v>66</v>
      </c>
      <c r="S533" t="s">
        <v>66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4</v>
      </c>
      <c r="AI533">
        <v>1</v>
      </c>
      <c r="AJ533">
        <v>42</v>
      </c>
      <c r="AK533">
        <v>1</v>
      </c>
      <c r="AL533">
        <v>4</v>
      </c>
      <c r="AM533">
        <v>0</v>
      </c>
      <c r="AN533" t="s">
        <v>2219</v>
      </c>
      <c r="AO533" t="s">
        <v>68</v>
      </c>
      <c r="AP533">
        <v>0.441</v>
      </c>
      <c r="AQ533" t="s">
        <v>69</v>
      </c>
      <c r="AR533">
        <v>46</v>
      </c>
      <c r="AS533">
        <v>1</v>
      </c>
      <c r="AT533">
        <v>3.159E-2</v>
      </c>
      <c r="AU533">
        <v>-7.7299999999999999E-3</v>
      </c>
      <c r="AV533">
        <v>0.15451999999999999</v>
      </c>
      <c r="AW533">
        <v>-4.0930000000000001E-2</v>
      </c>
      <c r="AX533">
        <v>1.1299999999999999E-3</v>
      </c>
      <c r="AY533">
        <v>-3.3E-4</v>
      </c>
      <c r="AZ533">
        <v>7.3200000000000001E-3</v>
      </c>
      <c r="BA533">
        <v>1</v>
      </c>
      <c r="BB533" t="s">
        <v>70</v>
      </c>
      <c r="BC533">
        <v>-0.59599999999999997</v>
      </c>
      <c r="BD533">
        <v>-0.59599999999999997</v>
      </c>
      <c r="BE533" t="s">
        <v>71</v>
      </c>
    </row>
    <row r="534" spans="1:57">
      <c r="A534">
        <v>2303</v>
      </c>
      <c r="B534" t="s">
        <v>2220</v>
      </c>
      <c r="D534" t="s">
        <v>66</v>
      </c>
      <c r="E534" t="s">
        <v>2221</v>
      </c>
      <c r="F534" t="s">
        <v>2222</v>
      </c>
      <c r="G534">
        <v>224</v>
      </c>
      <c r="H534" t="s">
        <v>63</v>
      </c>
      <c r="I534">
        <v>5</v>
      </c>
      <c r="J534" t="str">
        <f>HYPERLINK("Gene2303-zp_tree_all.dnd", "Gene2303-tree")</f>
        <v>Gene2303-tree</v>
      </c>
      <c r="K534">
        <v>5</v>
      </c>
      <c r="L534">
        <v>0</v>
      </c>
      <c r="M534">
        <v>5</v>
      </c>
      <c r="N534">
        <v>0</v>
      </c>
      <c r="O534">
        <v>0</v>
      </c>
      <c r="P534" t="s">
        <v>96</v>
      </c>
      <c r="Q534" t="s">
        <v>66</v>
      </c>
      <c r="R534" t="s">
        <v>66</v>
      </c>
      <c r="S534" t="s">
        <v>66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5</v>
      </c>
      <c r="AI534">
        <v>2</v>
      </c>
      <c r="AJ534">
        <v>10</v>
      </c>
      <c r="AK534">
        <v>0</v>
      </c>
      <c r="AL534">
        <v>17</v>
      </c>
      <c r="AM534">
        <v>0</v>
      </c>
      <c r="AN534" t="s">
        <v>68</v>
      </c>
      <c r="AO534" t="s">
        <v>68</v>
      </c>
      <c r="AP534">
        <v>0</v>
      </c>
      <c r="AQ534" t="s">
        <v>69</v>
      </c>
      <c r="AR534">
        <v>27</v>
      </c>
      <c r="AS534">
        <v>0</v>
      </c>
      <c r="AT534">
        <v>2.1129999999999999E-2</v>
      </c>
      <c r="AU534">
        <v>-3.6600000000000001E-3</v>
      </c>
      <c r="AV534">
        <v>9.912E-2</v>
      </c>
      <c r="AW534">
        <v>-1.7770000000000001E-2</v>
      </c>
      <c r="AX534">
        <v>0</v>
      </c>
      <c r="AY534">
        <v>0</v>
      </c>
      <c r="AZ534">
        <v>0</v>
      </c>
      <c r="BA534">
        <v>1</v>
      </c>
      <c r="BB534" t="s">
        <v>70</v>
      </c>
      <c r="BC534">
        <v>0.71399999999999997</v>
      </c>
      <c r="BD534">
        <v>0.71399999999999997</v>
      </c>
      <c r="BE534" t="s">
        <v>71</v>
      </c>
    </row>
    <row r="535" spans="1:57">
      <c r="A535">
        <v>2304</v>
      </c>
      <c r="B535" t="s">
        <v>2223</v>
      </c>
      <c r="D535" t="s">
        <v>66</v>
      </c>
      <c r="E535" t="s">
        <v>2224</v>
      </c>
      <c r="F535" t="s">
        <v>2225</v>
      </c>
      <c r="G535">
        <v>167</v>
      </c>
      <c r="H535" t="s">
        <v>63</v>
      </c>
      <c r="I535">
        <v>5</v>
      </c>
      <c r="J535" t="str">
        <f>HYPERLINK("Gene2304-zp_tree_all.dnd", "Gene2304-tree")</f>
        <v>Gene2304-tree</v>
      </c>
      <c r="K535">
        <v>5</v>
      </c>
      <c r="L535">
        <v>0</v>
      </c>
      <c r="M535">
        <v>5</v>
      </c>
      <c r="N535">
        <v>0</v>
      </c>
      <c r="O535">
        <v>0</v>
      </c>
      <c r="P535" t="s">
        <v>96</v>
      </c>
      <c r="Q535" t="s">
        <v>66</v>
      </c>
      <c r="R535" t="s">
        <v>66</v>
      </c>
      <c r="S535" t="s">
        <v>66</v>
      </c>
      <c r="T535">
        <v>0</v>
      </c>
      <c r="U535">
        <v>0</v>
      </c>
      <c r="V535">
        <v>2</v>
      </c>
      <c r="W535">
        <v>0</v>
      </c>
      <c r="X535">
        <v>0</v>
      </c>
      <c r="Y535">
        <v>0</v>
      </c>
      <c r="Z535">
        <v>0</v>
      </c>
      <c r="AA535">
        <v>2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4</v>
      </c>
      <c r="AI535">
        <v>2</v>
      </c>
      <c r="AJ535">
        <v>7</v>
      </c>
      <c r="AK535">
        <v>0</v>
      </c>
      <c r="AL535">
        <v>11</v>
      </c>
      <c r="AM535">
        <v>2</v>
      </c>
      <c r="AN535" t="s">
        <v>68</v>
      </c>
      <c r="AO535" t="s">
        <v>2226</v>
      </c>
      <c r="AP535">
        <v>0.83899999999999997</v>
      </c>
      <c r="AQ535" t="s">
        <v>69</v>
      </c>
      <c r="AR535">
        <v>18</v>
      </c>
      <c r="AS535">
        <v>2</v>
      </c>
      <c r="AT535">
        <v>2.0760000000000001E-2</v>
      </c>
      <c r="AU535">
        <v>-3.7499999999999999E-3</v>
      </c>
      <c r="AV535">
        <v>9.1050000000000006E-2</v>
      </c>
      <c r="AW535">
        <v>-1.609E-2</v>
      </c>
      <c r="AX535">
        <v>3.0699999999999998E-3</v>
      </c>
      <c r="AY535">
        <v>-7.2999999999999996E-4</v>
      </c>
      <c r="AZ535">
        <v>3.3759999999999998E-2</v>
      </c>
      <c r="BA535">
        <v>1</v>
      </c>
      <c r="BB535" t="s">
        <v>70</v>
      </c>
      <c r="BC535">
        <v>1.036</v>
      </c>
      <c r="BD535">
        <v>1.036</v>
      </c>
      <c r="BE535" t="s">
        <v>71</v>
      </c>
    </row>
    <row r="536" spans="1:57">
      <c r="A536">
        <v>2311</v>
      </c>
      <c r="B536" t="s">
        <v>2227</v>
      </c>
      <c r="D536" t="s">
        <v>66</v>
      </c>
      <c r="E536" t="s">
        <v>2228</v>
      </c>
      <c r="F536" t="s">
        <v>2229</v>
      </c>
      <c r="G536">
        <v>267</v>
      </c>
      <c r="H536" t="s">
        <v>85</v>
      </c>
      <c r="I536">
        <v>4</v>
      </c>
      <c r="J536" t="str">
        <f>HYPERLINK("Gene2311-zp_tree_all.dnd", "Gene2311-tree")</f>
        <v>Gene2311-tree</v>
      </c>
      <c r="K536">
        <v>1</v>
      </c>
      <c r="L536">
        <v>3</v>
      </c>
      <c r="M536">
        <v>1</v>
      </c>
      <c r="N536">
        <v>3</v>
      </c>
      <c r="O536">
        <v>0.75</v>
      </c>
      <c r="P536" t="s">
        <v>65</v>
      </c>
      <c r="Q536" t="s">
        <v>86</v>
      </c>
      <c r="R536" t="s">
        <v>66</v>
      </c>
      <c r="S536" t="s">
        <v>66</v>
      </c>
      <c r="T536">
        <v>0</v>
      </c>
      <c r="U536">
        <v>0</v>
      </c>
      <c r="V536">
        <v>16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16</v>
      </c>
      <c r="AG536">
        <v>0</v>
      </c>
      <c r="AH536">
        <v>4</v>
      </c>
      <c r="AI536">
        <v>1</v>
      </c>
      <c r="AJ536">
        <v>29</v>
      </c>
      <c r="AK536">
        <v>15</v>
      </c>
      <c r="AL536">
        <v>3</v>
      </c>
      <c r="AM536">
        <v>3</v>
      </c>
      <c r="AN536" t="s">
        <v>2230</v>
      </c>
      <c r="AO536" t="s">
        <v>2231</v>
      </c>
      <c r="AP536">
        <v>0.69099999999999995</v>
      </c>
      <c r="AQ536" t="s">
        <v>69</v>
      </c>
      <c r="AR536">
        <v>32</v>
      </c>
      <c r="AS536">
        <v>18</v>
      </c>
      <c r="AT536">
        <v>3.2460000000000003E-2</v>
      </c>
      <c r="AU536">
        <v>-7.6699999999999997E-3</v>
      </c>
      <c r="AV536">
        <v>9.4589999999999994E-2</v>
      </c>
      <c r="AW536">
        <v>-2.256E-2</v>
      </c>
      <c r="AX536">
        <v>1.5990000000000001E-2</v>
      </c>
      <c r="AY536">
        <v>-4.0600000000000002E-3</v>
      </c>
      <c r="AZ536">
        <v>0.16905999999999999</v>
      </c>
      <c r="BA536">
        <v>1</v>
      </c>
      <c r="BB536" t="s">
        <v>70</v>
      </c>
      <c r="BC536">
        <v>-0.48599999999999999</v>
      </c>
      <c r="BD536">
        <v>-0.48599999999999999</v>
      </c>
      <c r="BE536" t="s">
        <v>71</v>
      </c>
    </row>
    <row r="537" spans="1:57">
      <c r="A537">
        <v>2319</v>
      </c>
      <c r="B537" t="s">
        <v>2232</v>
      </c>
      <c r="D537" t="s">
        <v>66</v>
      </c>
      <c r="E537" t="s">
        <v>2233</v>
      </c>
      <c r="F537" t="s">
        <v>2234</v>
      </c>
      <c r="G537">
        <v>390</v>
      </c>
      <c r="H537" t="s">
        <v>85</v>
      </c>
      <c r="I537">
        <v>4</v>
      </c>
      <c r="J537" t="str">
        <f>HYPERLINK("Gene2319-zp_tree_all.dnd", "Gene2319-tree")</f>
        <v>Gene2319-tree</v>
      </c>
      <c r="K537">
        <v>2</v>
      </c>
      <c r="L537">
        <v>2</v>
      </c>
      <c r="M537">
        <v>2</v>
      </c>
      <c r="N537">
        <v>2</v>
      </c>
      <c r="O537">
        <v>0.5</v>
      </c>
      <c r="P537" t="s">
        <v>124</v>
      </c>
      <c r="Q537" t="s">
        <v>124</v>
      </c>
      <c r="R537" t="s">
        <v>66</v>
      </c>
      <c r="S537" t="s">
        <v>66</v>
      </c>
      <c r="T537">
        <v>0</v>
      </c>
      <c r="U537">
        <v>0</v>
      </c>
      <c r="V537">
        <v>2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2</v>
      </c>
      <c r="AG537">
        <v>0</v>
      </c>
      <c r="AH537">
        <v>4</v>
      </c>
      <c r="AI537">
        <v>1</v>
      </c>
      <c r="AJ537">
        <v>75</v>
      </c>
      <c r="AK537">
        <v>2</v>
      </c>
      <c r="AL537">
        <v>6</v>
      </c>
      <c r="AM537">
        <v>0</v>
      </c>
      <c r="AN537" t="s">
        <v>2235</v>
      </c>
      <c r="AO537" t="s">
        <v>68</v>
      </c>
      <c r="AP537">
        <v>0.91900000000000004</v>
      </c>
      <c r="AQ537" t="s">
        <v>69</v>
      </c>
      <c r="AR537">
        <v>81</v>
      </c>
      <c r="AS537">
        <v>2</v>
      </c>
      <c r="AT537">
        <v>3.4470000000000001E-2</v>
      </c>
      <c r="AU537">
        <v>-7.5100000000000002E-3</v>
      </c>
      <c r="AV537">
        <v>0.16689999999999999</v>
      </c>
      <c r="AW537">
        <v>-3.9609999999999999E-2</v>
      </c>
      <c r="AX537">
        <v>1.1100000000000001E-3</v>
      </c>
      <c r="AY537">
        <v>-2.5999999999999998E-4</v>
      </c>
      <c r="AZ537">
        <v>6.6800000000000002E-3</v>
      </c>
      <c r="BA537">
        <v>1</v>
      </c>
      <c r="BB537" t="s">
        <v>70</v>
      </c>
      <c r="BC537">
        <v>-0.28299999999999997</v>
      </c>
      <c r="BD537">
        <v>-0.53400000000000003</v>
      </c>
      <c r="BE537" t="s">
        <v>71</v>
      </c>
    </row>
    <row r="538" spans="1:57">
      <c r="A538">
        <v>2321</v>
      </c>
      <c r="B538" t="s">
        <v>2236</v>
      </c>
      <c r="D538" t="s">
        <v>66</v>
      </c>
      <c r="E538" t="s">
        <v>2237</v>
      </c>
      <c r="F538" t="s">
        <v>2238</v>
      </c>
      <c r="G538">
        <v>149</v>
      </c>
      <c r="H538" t="s">
        <v>63</v>
      </c>
      <c r="I538">
        <v>5</v>
      </c>
      <c r="J538" t="str">
        <f>HYPERLINK("Gene2321-zp_tree_all.dnd", "Gene2321-tree")</f>
        <v>Gene2321-tree</v>
      </c>
      <c r="K538">
        <v>3</v>
      </c>
      <c r="L538">
        <v>2</v>
      </c>
      <c r="M538">
        <v>3</v>
      </c>
      <c r="N538">
        <v>2</v>
      </c>
      <c r="O538">
        <v>0.4</v>
      </c>
      <c r="P538" t="s">
        <v>86</v>
      </c>
      <c r="Q538" t="s">
        <v>124</v>
      </c>
      <c r="R538" t="s">
        <v>66</v>
      </c>
      <c r="S538" t="s">
        <v>66</v>
      </c>
      <c r="T538">
        <v>0</v>
      </c>
      <c r="U538">
        <v>0</v>
      </c>
      <c r="V538">
        <v>2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2</v>
      </c>
      <c r="AG538">
        <v>0</v>
      </c>
      <c r="AH538">
        <v>5</v>
      </c>
      <c r="AI538">
        <v>2</v>
      </c>
      <c r="AJ538">
        <v>9</v>
      </c>
      <c r="AK538">
        <v>2</v>
      </c>
      <c r="AL538">
        <v>13</v>
      </c>
      <c r="AM538">
        <v>0</v>
      </c>
      <c r="AN538" t="s">
        <v>2239</v>
      </c>
      <c r="AO538" t="s">
        <v>68</v>
      </c>
      <c r="AP538">
        <v>1.24</v>
      </c>
      <c r="AQ538" t="s">
        <v>69</v>
      </c>
      <c r="AR538">
        <v>22</v>
      </c>
      <c r="AS538">
        <v>2</v>
      </c>
      <c r="AT538">
        <v>2.7029999999999998E-2</v>
      </c>
      <c r="AU538">
        <v>-4.5900000000000003E-3</v>
      </c>
      <c r="AV538">
        <v>0.12826000000000001</v>
      </c>
      <c r="AW538">
        <v>-2.3820000000000001E-2</v>
      </c>
      <c r="AX538">
        <v>3.16E-3</v>
      </c>
      <c r="AY538">
        <v>-8.5999999999999998E-4</v>
      </c>
      <c r="AZ538">
        <v>2.4670000000000001E-2</v>
      </c>
      <c r="BA538">
        <v>1</v>
      </c>
      <c r="BB538" t="s">
        <v>70</v>
      </c>
      <c r="BC538">
        <v>0.64600000000000002</v>
      </c>
      <c r="BD538">
        <v>0.377</v>
      </c>
      <c r="BE538" t="s">
        <v>71</v>
      </c>
    </row>
    <row r="539" spans="1:57">
      <c r="A539">
        <v>2322</v>
      </c>
      <c r="B539" t="s">
        <v>2240</v>
      </c>
      <c r="D539" t="s">
        <v>66</v>
      </c>
      <c r="E539" t="s">
        <v>2241</v>
      </c>
      <c r="F539" t="s">
        <v>2242</v>
      </c>
      <c r="G539">
        <v>348</v>
      </c>
      <c r="H539" t="s">
        <v>63</v>
      </c>
      <c r="I539">
        <v>5</v>
      </c>
      <c r="J539" t="str">
        <f>HYPERLINK("Gene2322-zp_tree_all.dnd", "Gene2322-tree")</f>
        <v>Gene2322-tree</v>
      </c>
      <c r="K539">
        <v>4</v>
      </c>
      <c r="L539">
        <v>1</v>
      </c>
      <c r="M539">
        <v>4</v>
      </c>
      <c r="N539">
        <v>1</v>
      </c>
      <c r="O539">
        <v>0.2</v>
      </c>
      <c r="P539" t="s">
        <v>64</v>
      </c>
      <c r="Q539" t="s">
        <v>65</v>
      </c>
      <c r="R539" t="s">
        <v>66</v>
      </c>
      <c r="S539" t="s">
        <v>66</v>
      </c>
      <c r="T539">
        <v>0</v>
      </c>
      <c r="U539">
        <v>0</v>
      </c>
      <c r="V539">
        <v>3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2</v>
      </c>
      <c r="AG539">
        <v>0</v>
      </c>
      <c r="AH539">
        <v>5</v>
      </c>
      <c r="AI539">
        <v>2</v>
      </c>
      <c r="AJ539">
        <v>28</v>
      </c>
      <c r="AK539">
        <v>2</v>
      </c>
      <c r="AL539">
        <v>36</v>
      </c>
      <c r="AM539">
        <v>1</v>
      </c>
      <c r="AN539" t="s">
        <v>2243</v>
      </c>
      <c r="AO539" t="s">
        <v>2244</v>
      </c>
      <c r="AP539">
        <v>0.33400000000000002</v>
      </c>
      <c r="AQ539" t="s">
        <v>69</v>
      </c>
      <c r="AR539">
        <v>64</v>
      </c>
      <c r="AS539">
        <v>3</v>
      </c>
      <c r="AT539">
        <v>3.1419999999999997E-2</v>
      </c>
      <c r="AU539">
        <v>-5.4099999999999999E-3</v>
      </c>
      <c r="AV539">
        <v>0.15013000000000001</v>
      </c>
      <c r="AW539">
        <v>-2.7040000000000002E-2</v>
      </c>
      <c r="AX539">
        <v>1.74E-3</v>
      </c>
      <c r="AY539">
        <v>-4.6999999999999999E-4</v>
      </c>
      <c r="AZ539">
        <v>1.159E-2</v>
      </c>
      <c r="BA539">
        <v>1</v>
      </c>
      <c r="BB539" t="s">
        <v>70</v>
      </c>
      <c r="BC539">
        <v>0.91</v>
      </c>
      <c r="BD539">
        <v>0.54800000000000004</v>
      </c>
      <c r="BE539" t="s">
        <v>71</v>
      </c>
    </row>
    <row r="540" spans="1:57">
      <c r="A540">
        <v>2323</v>
      </c>
      <c r="B540" t="s">
        <v>2245</v>
      </c>
      <c r="D540" t="s">
        <v>66</v>
      </c>
      <c r="E540" t="s">
        <v>2246</v>
      </c>
      <c r="F540" t="s">
        <v>2247</v>
      </c>
      <c r="G540">
        <v>233</v>
      </c>
      <c r="H540" t="s">
        <v>63</v>
      </c>
      <c r="I540">
        <v>5</v>
      </c>
      <c r="J540" t="str">
        <f>HYPERLINK("Gene2323-zp_tree_all.dnd", "Gene2323-tree")</f>
        <v>Gene2323-tree</v>
      </c>
      <c r="K540">
        <v>3</v>
      </c>
      <c r="L540">
        <v>2</v>
      </c>
      <c r="M540">
        <v>3</v>
      </c>
      <c r="N540">
        <v>2</v>
      </c>
      <c r="O540">
        <v>0.4</v>
      </c>
      <c r="P540" t="s">
        <v>86</v>
      </c>
      <c r="Q540" t="s">
        <v>124</v>
      </c>
      <c r="R540" t="s">
        <v>66</v>
      </c>
      <c r="S540" t="s">
        <v>66</v>
      </c>
      <c r="T540">
        <v>0</v>
      </c>
      <c r="U540">
        <v>0</v>
      </c>
      <c r="V540">
        <v>8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8</v>
      </c>
      <c r="AG540">
        <v>0</v>
      </c>
      <c r="AH540">
        <v>5</v>
      </c>
      <c r="AI540">
        <v>2</v>
      </c>
      <c r="AJ540">
        <v>28</v>
      </c>
      <c r="AK540">
        <v>5</v>
      </c>
      <c r="AL540">
        <v>8</v>
      </c>
      <c r="AM540">
        <v>3</v>
      </c>
      <c r="AN540" t="s">
        <v>2248</v>
      </c>
      <c r="AO540" t="s">
        <v>2249</v>
      </c>
      <c r="AP540">
        <v>0.51700000000000002</v>
      </c>
      <c r="AQ540" t="s">
        <v>69</v>
      </c>
      <c r="AR540">
        <v>36</v>
      </c>
      <c r="AS540">
        <v>8</v>
      </c>
      <c r="AT540">
        <v>2.7179999999999999E-2</v>
      </c>
      <c r="AU540">
        <v>-4.4099999999999999E-3</v>
      </c>
      <c r="AV540">
        <v>0.11204</v>
      </c>
      <c r="AW540">
        <v>-1.804E-2</v>
      </c>
      <c r="AX540">
        <v>6.9499999999999996E-3</v>
      </c>
      <c r="AY540">
        <v>-1.4599999999999999E-3</v>
      </c>
      <c r="AZ540">
        <v>6.2050000000000001E-2</v>
      </c>
      <c r="BA540">
        <v>1</v>
      </c>
      <c r="BB540" t="s">
        <v>70</v>
      </c>
      <c r="BC540">
        <v>-0.433</v>
      </c>
      <c r="BD540">
        <v>-0.58199999999999996</v>
      </c>
      <c r="BE540" t="s">
        <v>71</v>
      </c>
    </row>
    <row r="541" spans="1:57">
      <c r="A541">
        <v>2324</v>
      </c>
      <c r="B541" t="s">
        <v>2250</v>
      </c>
      <c r="D541" t="s">
        <v>66</v>
      </c>
      <c r="E541" t="s">
        <v>2251</v>
      </c>
      <c r="F541" t="s">
        <v>2252</v>
      </c>
      <c r="G541">
        <v>251</v>
      </c>
      <c r="H541" t="s">
        <v>63</v>
      </c>
      <c r="I541">
        <v>5</v>
      </c>
      <c r="J541" t="str">
        <f>HYPERLINK("Gene2324-zp_tree_all.dnd", "Gene2324-tree")</f>
        <v>Gene2324-tree</v>
      </c>
      <c r="K541">
        <v>4</v>
      </c>
      <c r="L541">
        <v>1</v>
      </c>
      <c r="M541">
        <v>4</v>
      </c>
      <c r="N541">
        <v>1</v>
      </c>
      <c r="O541">
        <v>0.2</v>
      </c>
      <c r="P541" t="s">
        <v>64</v>
      </c>
      <c r="Q541" t="s">
        <v>65</v>
      </c>
      <c r="R541" t="s">
        <v>66</v>
      </c>
      <c r="S541" t="s">
        <v>66</v>
      </c>
      <c r="T541">
        <v>0</v>
      </c>
      <c r="U541">
        <v>0</v>
      </c>
      <c r="V541">
        <v>5</v>
      </c>
      <c r="W541">
        <v>0</v>
      </c>
      <c r="X541">
        <v>0</v>
      </c>
      <c r="Y541">
        <v>0</v>
      </c>
      <c r="Z541">
        <v>0</v>
      </c>
      <c r="AA541">
        <v>4</v>
      </c>
      <c r="AB541">
        <v>0</v>
      </c>
      <c r="AC541">
        <v>0</v>
      </c>
      <c r="AD541">
        <v>0</v>
      </c>
      <c r="AE541">
        <v>0</v>
      </c>
      <c r="AF541">
        <v>1</v>
      </c>
      <c r="AG541">
        <v>0</v>
      </c>
      <c r="AH541">
        <v>4</v>
      </c>
      <c r="AI541">
        <v>2</v>
      </c>
      <c r="AJ541">
        <v>8</v>
      </c>
      <c r="AK541">
        <v>0</v>
      </c>
      <c r="AL541">
        <v>10</v>
      </c>
      <c r="AM541">
        <v>5</v>
      </c>
      <c r="AN541" t="s">
        <v>68</v>
      </c>
      <c r="AO541" t="s">
        <v>2253</v>
      </c>
      <c r="AP541">
        <v>1.9339999999999999</v>
      </c>
      <c r="AQ541" t="s">
        <v>69</v>
      </c>
      <c r="AR541">
        <v>18</v>
      </c>
      <c r="AS541">
        <v>5</v>
      </c>
      <c r="AT541">
        <v>1.541E-2</v>
      </c>
      <c r="AU541">
        <v>-2.5899999999999999E-3</v>
      </c>
      <c r="AV541">
        <v>5.3420000000000002E-2</v>
      </c>
      <c r="AW541">
        <v>-8.1300000000000001E-3</v>
      </c>
      <c r="AX541">
        <v>5.62E-3</v>
      </c>
      <c r="AY541">
        <v>-1.15E-3</v>
      </c>
      <c r="AZ541">
        <v>0.10517</v>
      </c>
      <c r="BA541">
        <v>1</v>
      </c>
      <c r="BB541" t="s">
        <v>70</v>
      </c>
      <c r="BC541">
        <v>1.117</v>
      </c>
      <c r="BD541">
        <v>1.117</v>
      </c>
      <c r="BE541" t="s">
        <v>71</v>
      </c>
    </row>
    <row r="542" spans="1:57">
      <c r="A542">
        <v>2325</v>
      </c>
      <c r="B542" t="s">
        <v>2254</v>
      </c>
      <c r="D542" t="s">
        <v>66</v>
      </c>
      <c r="E542" t="s">
        <v>2255</v>
      </c>
      <c r="F542" t="s">
        <v>2256</v>
      </c>
      <c r="G542">
        <v>75</v>
      </c>
      <c r="H542" t="s">
        <v>63</v>
      </c>
      <c r="I542">
        <v>5</v>
      </c>
      <c r="J542" t="str">
        <f>HYPERLINK("Gene2325-zp_tree_all.dnd", "Gene2325-tree")</f>
        <v>Gene2325-tree</v>
      </c>
      <c r="K542">
        <v>5</v>
      </c>
      <c r="L542">
        <v>0</v>
      </c>
      <c r="M542">
        <v>5</v>
      </c>
      <c r="N542">
        <v>0</v>
      </c>
      <c r="O542">
        <v>0</v>
      </c>
      <c r="P542" t="s">
        <v>96</v>
      </c>
      <c r="Q542" t="s">
        <v>66</v>
      </c>
      <c r="R542" t="s">
        <v>66</v>
      </c>
      <c r="S542" t="s">
        <v>66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4</v>
      </c>
      <c r="AI542">
        <v>1</v>
      </c>
      <c r="AJ542">
        <v>8</v>
      </c>
      <c r="AK542">
        <v>0</v>
      </c>
      <c r="AL542">
        <v>4</v>
      </c>
      <c r="AM542">
        <v>1</v>
      </c>
      <c r="AN542" t="s">
        <v>68</v>
      </c>
      <c r="AO542" t="s">
        <v>2257</v>
      </c>
      <c r="AP542">
        <v>0</v>
      </c>
      <c r="AQ542" t="s">
        <v>69</v>
      </c>
      <c r="AR542">
        <v>12</v>
      </c>
      <c r="AS542">
        <v>1</v>
      </c>
      <c r="AT542">
        <v>2.7560000000000001E-2</v>
      </c>
      <c r="AU542">
        <v>-4.0600000000000002E-3</v>
      </c>
      <c r="AV542">
        <v>0.12866</v>
      </c>
      <c r="AW542">
        <v>-1.908E-2</v>
      </c>
      <c r="AX542">
        <v>3.4099999999999998E-3</v>
      </c>
      <c r="AY542">
        <v>-8.0999999999999996E-4</v>
      </c>
      <c r="AZ542">
        <v>2.648E-2</v>
      </c>
      <c r="BA542">
        <v>1</v>
      </c>
      <c r="BB542" t="s">
        <v>70</v>
      </c>
      <c r="BC542">
        <v>-4.7E-2</v>
      </c>
      <c r="BD542">
        <v>-4.7E-2</v>
      </c>
      <c r="BE542" t="s">
        <v>71</v>
      </c>
    </row>
    <row r="543" spans="1:57">
      <c r="A543">
        <v>2326</v>
      </c>
      <c r="B543" t="s">
        <v>2258</v>
      </c>
      <c r="D543" t="s">
        <v>66</v>
      </c>
      <c r="E543" t="s">
        <v>2259</v>
      </c>
      <c r="F543" t="s">
        <v>2260</v>
      </c>
      <c r="G543">
        <v>190</v>
      </c>
      <c r="H543" t="s">
        <v>63</v>
      </c>
      <c r="I543">
        <v>5</v>
      </c>
      <c r="J543" t="str">
        <f>HYPERLINK("Gene2326-zp_tree_all.dnd", "Gene2326-tree")</f>
        <v>Gene2326-tree</v>
      </c>
      <c r="K543">
        <v>5</v>
      </c>
      <c r="L543">
        <v>0</v>
      </c>
      <c r="M543">
        <v>4</v>
      </c>
      <c r="N543">
        <v>0</v>
      </c>
      <c r="O543">
        <v>0</v>
      </c>
      <c r="P543" t="s">
        <v>135</v>
      </c>
      <c r="Q543" t="s">
        <v>66</v>
      </c>
      <c r="R543" t="s">
        <v>66</v>
      </c>
      <c r="S543" t="s">
        <v>66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4</v>
      </c>
      <c r="AI543">
        <v>1</v>
      </c>
      <c r="AJ543">
        <v>8</v>
      </c>
      <c r="AK543">
        <v>0</v>
      </c>
      <c r="AL543">
        <v>12</v>
      </c>
      <c r="AM543">
        <v>0</v>
      </c>
      <c r="AN543" t="s">
        <v>68</v>
      </c>
      <c r="AO543" t="s">
        <v>68</v>
      </c>
      <c r="AP543">
        <v>0</v>
      </c>
      <c r="AQ543" t="s">
        <v>69</v>
      </c>
      <c r="AR543">
        <v>20</v>
      </c>
      <c r="AS543">
        <v>0</v>
      </c>
      <c r="AT543">
        <v>2.1049999999999999E-2</v>
      </c>
      <c r="AU543">
        <v>-4.0899999999999999E-3</v>
      </c>
      <c r="AV543">
        <v>0.1009</v>
      </c>
      <c r="AW543">
        <v>-2.019E-2</v>
      </c>
      <c r="AX543">
        <v>0</v>
      </c>
      <c r="AY543">
        <v>0</v>
      </c>
      <c r="AZ543">
        <v>0</v>
      </c>
      <c r="BA543">
        <v>1</v>
      </c>
      <c r="BB543" t="s">
        <v>70</v>
      </c>
      <c r="BC543">
        <v>0.77</v>
      </c>
      <c r="BD543">
        <v>0.77</v>
      </c>
      <c r="BE543" t="s">
        <v>71</v>
      </c>
    </row>
    <row r="544" spans="1:57">
      <c r="A544">
        <v>2328</v>
      </c>
      <c r="B544" t="s">
        <v>2264</v>
      </c>
      <c r="D544" t="s">
        <v>66</v>
      </c>
      <c r="E544" t="s">
        <v>2265</v>
      </c>
      <c r="F544" t="s">
        <v>2266</v>
      </c>
      <c r="G544">
        <v>492</v>
      </c>
      <c r="H544" t="s">
        <v>63</v>
      </c>
      <c r="I544">
        <v>5</v>
      </c>
      <c r="J544" t="str">
        <f>HYPERLINK("Gene2328-zp_tree_all.dnd", "Gene2328-tree")</f>
        <v>Gene2328-tree</v>
      </c>
      <c r="K544">
        <v>4</v>
      </c>
      <c r="L544">
        <v>1</v>
      </c>
      <c r="M544">
        <v>4</v>
      </c>
      <c r="N544">
        <v>1</v>
      </c>
      <c r="O544">
        <v>0.2</v>
      </c>
      <c r="P544" t="s">
        <v>64</v>
      </c>
      <c r="Q544" t="s">
        <v>65</v>
      </c>
      <c r="R544" t="s">
        <v>66</v>
      </c>
      <c r="S544" t="s">
        <v>66</v>
      </c>
      <c r="T544">
        <v>0</v>
      </c>
      <c r="U544">
        <v>0</v>
      </c>
      <c r="V544">
        <v>4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5</v>
      </c>
      <c r="AI544">
        <v>2</v>
      </c>
      <c r="AJ544">
        <v>34</v>
      </c>
      <c r="AK544">
        <v>1</v>
      </c>
      <c r="AL544">
        <v>50</v>
      </c>
      <c r="AM544">
        <v>3</v>
      </c>
      <c r="AN544" t="s">
        <v>2267</v>
      </c>
      <c r="AO544" t="s">
        <v>2268</v>
      </c>
      <c r="AP544">
        <v>0.379</v>
      </c>
      <c r="AQ544" t="s">
        <v>69</v>
      </c>
      <c r="AR544">
        <v>84</v>
      </c>
      <c r="AS544">
        <v>4</v>
      </c>
      <c r="AT544">
        <v>3.0349999999999999E-2</v>
      </c>
      <c r="AU544">
        <v>-5.6100000000000004E-3</v>
      </c>
      <c r="AV544">
        <v>0.14510000000000001</v>
      </c>
      <c r="AW544">
        <v>-2.792E-2</v>
      </c>
      <c r="AX544">
        <v>1.9300000000000001E-3</v>
      </c>
      <c r="AY544">
        <v>-3.6999999999999999E-4</v>
      </c>
      <c r="AZ544">
        <v>1.3299999999999999E-2</v>
      </c>
      <c r="BA544">
        <v>1</v>
      </c>
      <c r="BB544" t="s">
        <v>70</v>
      </c>
      <c r="BC544">
        <v>0.84299999999999997</v>
      </c>
      <c r="BD544">
        <v>0.65500000000000003</v>
      </c>
      <c r="BE544" t="s">
        <v>71</v>
      </c>
    </row>
    <row r="545" spans="1:57">
      <c r="A545">
        <v>2330</v>
      </c>
      <c r="B545" t="s">
        <v>2269</v>
      </c>
      <c r="D545" t="s">
        <v>66</v>
      </c>
      <c r="E545" t="s">
        <v>2270</v>
      </c>
      <c r="F545" t="s">
        <v>74</v>
      </c>
      <c r="G545">
        <v>67</v>
      </c>
      <c r="H545" t="s">
        <v>63</v>
      </c>
      <c r="I545">
        <v>5</v>
      </c>
      <c r="J545" t="str">
        <f>HYPERLINK("Gene2330-zp_tree_all.dnd", "Gene2330-tree")</f>
        <v>Gene2330-tree</v>
      </c>
      <c r="K545">
        <v>5</v>
      </c>
      <c r="L545">
        <v>0</v>
      </c>
      <c r="M545">
        <v>4</v>
      </c>
      <c r="N545">
        <v>0</v>
      </c>
      <c r="O545">
        <v>0</v>
      </c>
      <c r="P545" t="s">
        <v>135</v>
      </c>
      <c r="Q545" t="s">
        <v>66</v>
      </c>
      <c r="R545" t="s">
        <v>66</v>
      </c>
      <c r="S545" t="s">
        <v>66</v>
      </c>
      <c r="T545">
        <v>0</v>
      </c>
      <c r="U545">
        <v>0</v>
      </c>
      <c r="V545">
        <v>3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3</v>
      </c>
      <c r="AI545">
        <v>1</v>
      </c>
      <c r="AJ545">
        <v>5</v>
      </c>
      <c r="AK545">
        <v>0</v>
      </c>
      <c r="AL545">
        <v>4</v>
      </c>
      <c r="AM545">
        <v>3</v>
      </c>
      <c r="AN545" t="s">
        <v>68</v>
      </c>
      <c r="AO545" t="s">
        <v>2271</v>
      </c>
      <c r="AP545">
        <v>0</v>
      </c>
      <c r="AQ545" t="s">
        <v>69</v>
      </c>
      <c r="AR545">
        <v>9</v>
      </c>
      <c r="AS545">
        <v>3</v>
      </c>
      <c r="AT545">
        <v>3.5659999999999997E-2</v>
      </c>
      <c r="AU545">
        <v>-7.1700000000000002E-3</v>
      </c>
      <c r="AV545">
        <v>0.12639</v>
      </c>
      <c r="AW545">
        <v>-2.3699999999999999E-2</v>
      </c>
      <c r="AX545">
        <v>1.2999999999999999E-2</v>
      </c>
      <c r="AY545">
        <v>-3.0599999999999998E-3</v>
      </c>
      <c r="AZ545">
        <v>0.10287</v>
      </c>
      <c r="BA545">
        <v>1</v>
      </c>
      <c r="BB545" t="s">
        <v>70</v>
      </c>
      <c r="BC545">
        <v>0.80400000000000005</v>
      </c>
      <c r="BD545">
        <v>0.80400000000000005</v>
      </c>
      <c r="BE545" t="s">
        <v>71</v>
      </c>
    </row>
    <row r="546" spans="1:57">
      <c r="A546">
        <v>2338</v>
      </c>
      <c r="B546" t="s">
        <v>2274</v>
      </c>
      <c r="D546" t="s">
        <v>66</v>
      </c>
      <c r="E546" t="s">
        <v>2275</v>
      </c>
      <c r="F546" t="s">
        <v>2276</v>
      </c>
      <c r="G546">
        <v>382</v>
      </c>
      <c r="H546" t="s">
        <v>63</v>
      </c>
      <c r="I546">
        <v>5</v>
      </c>
      <c r="J546" t="str">
        <f>HYPERLINK("Gene2338-zp_tree_all.dnd", "Gene2338-tree")</f>
        <v>Gene2338-tree</v>
      </c>
      <c r="K546">
        <v>3</v>
      </c>
      <c r="L546">
        <v>2</v>
      </c>
      <c r="M546">
        <v>3</v>
      </c>
      <c r="N546">
        <v>2</v>
      </c>
      <c r="O546">
        <v>0.4</v>
      </c>
      <c r="P546" t="s">
        <v>86</v>
      </c>
      <c r="Q546" t="s">
        <v>124</v>
      </c>
      <c r="R546" t="s">
        <v>66</v>
      </c>
      <c r="S546" t="s">
        <v>66</v>
      </c>
      <c r="T546">
        <v>0</v>
      </c>
      <c r="U546">
        <v>0</v>
      </c>
      <c r="V546">
        <v>3</v>
      </c>
      <c r="W546">
        <v>0</v>
      </c>
      <c r="X546">
        <v>0</v>
      </c>
      <c r="Y546">
        <v>0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2</v>
      </c>
      <c r="AG546">
        <v>0</v>
      </c>
      <c r="AH546">
        <v>5</v>
      </c>
      <c r="AI546">
        <v>2</v>
      </c>
      <c r="AJ546">
        <v>30</v>
      </c>
      <c r="AK546">
        <v>2</v>
      </c>
      <c r="AL546">
        <v>29</v>
      </c>
      <c r="AM546">
        <v>1</v>
      </c>
      <c r="AN546" t="s">
        <v>2277</v>
      </c>
      <c r="AO546" t="s">
        <v>2278</v>
      </c>
      <c r="AP546">
        <v>0.54300000000000004</v>
      </c>
      <c r="AQ546" t="s">
        <v>69</v>
      </c>
      <c r="AR546">
        <v>59</v>
      </c>
      <c r="AS546">
        <v>3</v>
      </c>
      <c r="AT546">
        <v>2.5919999999999999E-2</v>
      </c>
      <c r="AU546">
        <v>-3.8899999999999998E-3</v>
      </c>
      <c r="AV546">
        <v>0.11992</v>
      </c>
      <c r="AW546">
        <v>-1.907E-2</v>
      </c>
      <c r="AX546">
        <v>1.58E-3</v>
      </c>
      <c r="AY546">
        <v>-2.9E-4</v>
      </c>
      <c r="AZ546">
        <v>1.32E-2</v>
      </c>
      <c r="BA546">
        <v>1</v>
      </c>
      <c r="BB546" t="s">
        <v>70</v>
      </c>
      <c r="BC546">
        <v>0.79300000000000004</v>
      </c>
      <c r="BD546">
        <v>0.25900000000000001</v>
      </c>
      <c r="BE546" t="s">
        <v>71</v>
      </c>
    </row>
    <row r="547" spans="1:57">
      <c r="A547">
        <v>2346</v>
      </c>
      <c r="B547" t="s">
        <v>2281</v>
      </c>
      <c r="D547" t="s">
        <v>66</v>
      </c>
      <c r="E547" t="s">
        <v>2282</v>
      </c>
      <c r="F547" t="s">
        <v>2283</v>
      </c>
      <c r="G547">
        <v>427</v>
      </c>
      <c r="H547" t="s">
        <v>63</v>
      </c>
      <c r="I547">
        <v>5</v>
      </c>
      <c r="J547" t="str">
        <f>HYPERLINK("Gene2346-zp_tree_all.dnd", "Gene2346-tree")</f>
        <v>Gene2346-tree</v>
      </c>
      <c r="K547">
        <v>4</v>
      </c>
      <c r="L547">
        <v>1</v>
      </c>
      <c r="M547">
        <v>3</v>
      </c>
      <c r="N547">
        <v>1</v>
      </c>
      <c r="O547">
        <v>0.25</v>
      </c>
      <c r="P547" t="s">
        <v>112</v>
      </c>
      <c r="Q547" t="s">
        <v>65</v>
      </c>
      <c r="R547" t="s">
        <v>66</v>
      </c>
      <c r="S547" t="s">
        <v>66</v>
      </c>
      <c r="T547">
        <v>0</v>
      </c>
      <c r="U547">
        <v>0</v>
      </c>
      <c r="V547">
        <v>4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0</v>
      </c>
      <c r="AC547">
        <v>0</v>
      </c>
      <c r="AD547">
        <v>0</v>
      </c>
      <c r="AE547">
        <v>0</v>
      </c>
      <c r="AF547">
        <v>1</v>
      </c>
      <c r="AG547">
        <v>0</v>
      </c>
      <c r="AH547">
        <v>4</v>
      </c>
      <c r="AI547">
        <v>1</v>
      </c>
      <c r="AJ547">
        <v>26</v>
      </c>
      <c r="AK547">
        <v>1</v>
      </c>
      <c r="AL547">
        <v>30</v>
      </c>
      <c r="AM547">
        <v>3</v>
      </c>
      <c r="AN547" t="s">
        <v>2284</v>
      </c>
      <c r="AO547" t="s">
        <v>2285</v>
      </c>
      <c r="AP547">
        <v>0.93400000000000005</v>
      </c>
      <c r="AQ547" t="s">
        <v>69</v>
      </c>
      <c r="AR547">
        <v>56</v>
      </c>
      <c r="AS547">
        <v>4</v>
      </c>
      <c r="AT547">
        <v>2.7189999999999999E-2</v>
      </c>
      <c r="AU547">
        <v>-4.8199999999999996E-3</v>
      </c>
      <c r="AV547">
        <v>0.12126000000000001</v>
      </c>
      <c r="AW547">
        <v>-2.2069999999999999E-2</v>
      </c>
      <c r="AX547">
        <v>2.5600000000000002E-3</v>
      </c>
      <c r="AY547">
        <v>-4.6000000000000001E-4</v>
      </c>
      <c r="AZ547">
        <v>2.111E-2</v>
      </c>
      <c r="BA547">
        <v>1</v>
      </c>
      <c r="BB547" t="s">
        <v>70</v>
      </c>
      <c r="BC547">
        <v>0.92300000000000004</v>
      </c>
      <c r="BD547">
        <v>0.67400000000000004</v>
      </c>
      <c r="BE547" t="s">
        <v>71</v>
      </c>
    </row>
    <row r="548" spans="1:57">
      <c r="A548">
        <v>2347</v>
      </c>
      <c r="B548" t="s">
        <v>2286</v>
      </c>
      <c r="D548" t="s">
        <v>66</v>
      </c>
      <c r="E548" t="s">
        <v>2287</v>
      </c>
      <c r="F548" t="s">
        <v>2288</v>
      </c>
      <c r="G548">
        <v>194</v>
      </c>
      <c r="H548" t="s">
        <v>63</v>
      </c>
      <c r="I548">
        <v>5</v>
      </c>
      <c r="J548" t="str">
        <f>HYPERLINK("Gene2347-zp_tree_all.dnd", "Gene2347-tree")</f>
        <v>Gene2347-tree</v>
      </c>
      <c r="K548">
        <v>3</v>
      </c>
      <c r="L548">
        <v>2</v>
      </c>
      <c r="M548">
        <v>3</v>
      </c>
      <c r="N548">
        <v>2</v>
      </c>
      <c r="O548">
        <v>0.4</v>
      </c>
      <c r="P548" t="s">
        <v>86</v>
      </c>
      <c r="Q548" t="s">
        <v>124</v>
      </c>
      <c r="R548" t="s">
        <v>66</v>
      </c>
      <c r="S548" t="s">
        <v>66</v>
      </c>
      <c r="T548">
        <v>0</v>
      </c>
      <c r="U548">
        <v>0</v>
      </c>
      <c r="V548">
        <v>6</v>
      </c>
      <c r="W548">
        <v>0</v>
      </c>
      <c r="X548">
        <v>0</v>
      </c>
      <c r="Y548">
        <v>0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0</v>
      </c>
      <c r="AF548">
        <v>5</v>
      </c>
      <c r="AG548">
        <v>0</v>
      </c>
      <c r="AH548">
        <v>3</v>
      </c>
      <c r="AI548">
        <v>2</v>
      </c>
      <c r="AJ548">
        <v>5</v>
      </c>
      <c r="AK548">
        <v>6</v>
      </c>
      <c r="AL548">
        <v>14</v>
      </c>
      <c r="AM548">
        <v>1</v>
      </c>
      <c r="AN548" t="s">
        <v>2289</v>
      </c>
      <c r="AO548" t="s">
        <v>2290</v>
      </c>
      <c r="AP548">
        <v>1.3009999999999999</v>
      </c>
      <c r="AQ548" t="s">
        <v>69</v>
      </c>
      <c r="AR548">
        <v>19</v>
      </c>
      <c r="AS548">
        <v>7</v>
      </c>
      <c r="AT548">
        <v>2.2679999999999999E-2</v>
      </c>
      <c r="AU548">
        <v>-4.3200000000000001E-3</v>
      </c>
      <c r="AV548">
        <v>8.6690000000000003E-2</v>
      </c>
      <c r="AW548">
        <v>-1.7950000000000001E-2</v>
      </c>
      <c r="AX548">
        <v>6.6499999999999997E-3</v>
      </c>
      <c r="AY548">
        <v>-1.7799999999999999E-3</v>
      </c>
      <c r="AZ548">
        <v>7.6730000000000007E-2</v>
      </c>
      <c r="BA548">
        <v>1</v>
      </c>
      <c r="BB548" t="s">
        <v>70</v>
      </c>
      <c r="BC548">
        <v>0.74399999999999999</v>
      </c>
      <c r="BD548">
        <v>0.74399999999999999</v>
      </c>
      <c r="BE548" t="s">
        <v>71</v>
      </c>
    </row>
    <row r="549" spans="1:57">
      <c r="A549">
        <v>2360</v>
      </c>
      <c r="B549" t="s">
        <v>2296</v>
      </c>
      <c r="D549" t="s">
        <v>66</v>
      </c>
      <c r="E549" t="s">
        <v>2297</v>
      </c>
      <c r="F549" t="s">
        <v>2298</v>
      </c>
      <c r="G549">
        <v>194</v>
      </c>
      <c r="H549" t="s">
        <v>63</v>
      </c>
      <c r="I549">
        <v>5</v>
      </c>
      <c r="J549" t="str">
        <f>HYPERLINK("Gene2360-zp_tree_all.dnd", "Gene2360-tree")</f>
        <v>Gene2360-tree</v>
      </c>
      <c r="K549">
        <v>5</v>
      </c>
      <c r="L549">
        <v>0</v>
      </c>
      <c r="M549">
        <v>5</v>
      </c>
      <c r="N549">
        <v>0</v>
      </c>
      <c r="O549">
        <v>0</v>
      </c>
      <c r="P549" t="s">
        <v>96</v>
      </c>
      <c r="Q549" t="s">
        <v>66</v>
      </c>
      <c r="R549" t="s">
        <v>66</v>
      </c>
      <c r="S549" t="s">
        <v>66</v>
      </c>
      <c r="T549">
        <v>0</v>
      </c>
      <c r="U549">
        <v>0</v>
      </c>
      <c r="V549">
        <v>3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4</v>
      </c>
      <c r="AI549">
        <v>2</v>
      </c>
      <c r="AJ549">
        <v>11</v>
      </c>
      <c r="AK549">
        <v>0</v>
      </c>
      <c r="AL549">
        <v>15</v>
      </c>
      <c r="AM549">
        <v>3</v>
      </c>
      <c r="AN549" t="s">
        <v>68</v>
      </c>
      <c r="AO549" t="s">
        <v>2299</v>
      </c>
      <c r="AP549">
        <v>1.0249999999999999</v>
      </c>
      <c r="AQ549" t="s">
        <v>69</v>
      </c>
      <c r="AR549">
        <v>26</v>
      </c>
      <c r="AS549">
        <v>3</v>
      </c>
      <c r="AT549">
        <v>2.5090000000000001E-2</v>
      </c>
      <c r="AU549">
        <v>-4.3600000000000002E-3</v>
      </c>
      <c r="AV549">
        <v>0.11387</v>
      </c>
      <c r="AW549">
        <v>-1.9189999999999999E-2</v>
      </c>
      <c r="AX549">
        <v>3.9399999999999999E-3</v>
      </c>
      <c r="AY549">
        <v>-9.3999999999999997E-4</v>
      </c>
      <c r="AZ549">
        <v>3.4639999999999997E-2</v>
      </c>
      <c r="BA549">
        <v>1</v>
      </c>
      <c r="BB549" t="s">
        <v>70</v>
      </c>
      <c r="BC549">
        <v>0.94399999999999995</v>
      </c>
      <c r="BD549">
        <v>0.48299999999999998</v>
      </c>
      <c r="BE549" t="s">
        <v>71</v>
      </c>
    </row>
    <row r="550" spans="1:57">
      <c r="A550">
        <v>2365</v>
      </c>
      <c r="B550" t="s">
        <v>2300</v>
      </c>
      <c r="D550" t="s">
        <v>66</v>
      </c>
      <c r="E550" t="s">
        <v>2301</v>
      </c>
      <c r="F550" t="s">
        <v>2302</v>
      </c>
      <c r="G550">
        <v>179</v>
      </c>
      <c r="H550" t="s">
        <v>63</v>
      </c>
      <c r="I550">
        <v>5</v>
      </c>
      <c r="J550" t="str">
        <f>HYPERLINK("Gene2365-zp_tree_all.dnd", "Gene2365-tree")</f>
        <v>Gene2365-tree</v>
      </c>
      <c r="K550">
        <v>3</v>
      </c>
      <c r="L550">
        <v>2</v>
      </c>
      <c r="M550">
        <v>2</v>
      </c>
      <c r="N550">
        <v>2</v>
      </c>
      <c r="O550">
        <v>0.5</v>
      </c>
      <c r="P550" t="s">
        <v>185</v>
      </c>
      <c r="Q550" t="s">
        <v>124</v>
      </c>
      <c r="R550" t="s">
        <v>66</v>
      </c>
      <c r="S550" t="s">
        <v>66</v>
      </c>
      <c r="T550">
        <v>0</v>
      </c>
      <c r="U550">
        <v>0</v>
      </c>
      <c r="V550">
        <v>3</v>
      </c>
      <c r="W550">
        <v>0</v>
      </c>
      <c r="X550">
        <v>0</v>
      </c>
      <c r="Y550">
        <v>0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0</v>
      </c>
      <c r="AF550">
        <v>2</v>
      </c>
      <c r="AG550">
        <v>0</v>
      </c>
      <c r="AH550">
        <v>4</v>
      </c>
      <c r="AI550">
        <v>1</v>
      </c>
      <c r="AJ550">
        <v>8</v>
      </c>
      <c r="AK550">
        <v>2</v>
      </c>
      <c r="AL550">
        <v>11</v>
      </c>
      <c r="AM550">
        <v>2</v>
      </c>
      <c r="AN550" t="s">
        <v>2303</v>
      </c>
      <c r="AO550" t="s">
        <v>2304</v>
      </c>
      <c r="AP550">
        <v>0.49</v>
      </c>
      <c r="AQ550" t="s">
        <v>69</v>
      </c>
      <c r="AR550">
        <v>19</v>
      </c>
      <c r="AS550">
        <v>4</v>
      </c>
      <c r="AT550">
        <v>2.4830000000000001E-2</v>
      </c>
      <c r="AU550">
        <v>-4.7000000000000002E-3</v>
      </c>
      <c r="AV550">
        <v>9.8659999999999998E-2</v>
      </c>
      <c r="AW550">
        <v>-1.949E-2</v>
      </c>
      <c r="AX550">
        <v>5.6299999999999996E-3</v>
      </c>
      <c r="AY550">
        <v>-1.09E-3</v>
      </c>
      <c r="AZ550">
        <v>5.7079999999999999E-2</v>
      </c>
      <c r="BA550">
        <v>1</v>
      </c>
      <c r="BB550" t="s">
        <v>70</v>
      </c>
      <c r="BC550">
        <v>0.73</v>
      </c>
      <c r="BD550">
        <v>0.73</v>
      </c>
      <c r="BE550" t="s">
        <v>71</v>
      </c>
    </row>
    <row r="551" spans="1:57">
      <c r="A551">
        <v>2370</v>
      </c>
      <c r="B551" t="s">
        <v>2308</v>
      </c>
      <c r="D551" t="s">
        <v>66</v>
      </c>
      <c r="E551" t="s">
        <v>2309</v>
      </c>
      <c r="F551" t="s">
        <v>74</v>
      </c>
      <c r="G551">
        <v>179</v>
      </c>
      <c r="H551" t="s">
        <v>63</v>
      </c>
      <c r="I551">
        <v>5</v>
      </c>
      <c r="J551" t="str">
        <f>HYPERLINK("Gene2370-zp_tree_all.dnd", "Gene2370-tree")</f>
        <v>Gene2370-tree</v>
      </c>
      <c r="K551">
        <v>0</v>
      </c>
      <c r="L551">
        <v>5</v>
      </c>
      <c r="M551">
        <v>0</v>
      </c>
      <c r="N551">
        <v>4</v>
      </c>
      <c r="O551">
        <v>1</v>
      </c>
      <c r="P551" t="s">
        <v>66</v>
      </c>
      <c r="Q551" t="s">
        <v>135</v>
      </c>
      <c r="R551">
        <v>3.1949999999999998</v>
      </c>
      <c r="S551" t="s">
        <v>69</v>
      </c>
      <c r="T551">
        <v>0</v>
      </c>
      <c r="U551">
        <v>0</v>
      </c>
      <c r="V551">
        <v>5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5</v>
      </c>
      <c r="AG551">
        <v>0</v>
      </c>
      <c r="AH551">
        <v>3</v>
      </c>
      <c r="AI551">
        <v>1</v>
      </c>
      <c r="AJ551">
        <v>8</v>
      </c>
      <c r="AK551">
        <v>3</v>
      </c>
      <c r="AL551">
        <v>7</v>
      </c>
      <c r="AM551">
        <v>2</v>
      </c>
      <c r="AN551" t="s">
        <v>2310</v>
      </c>
      <c r="AO551" t="s">
        <v>2311</v>
      </c>
      <c r="AP551">
        <v>13.819000000000001</v>
      </c>
      <c r="AQ551" t="s">
        <v>239</v>
      </c>
      <c r="AR551">
        <v>15</v>
      </c>
      <c r="AS551">
        <v>5</v>
      </c>
      <c r="AT551">
        <v>2.1420000000000002E-2</v>
      </c>
      <c r="AU551">
        <v>-3.5300000000000002E-3</v>
      </c>
      <c r="AV551">
        <v>7.8100000000000003E-2</v>
      </c>
      <c r="AW551">
        <v>-1.354E-2</v>
      </c>
      <c r="AX551">
        <v>6.7999999999999996E-3</v>
      </c>
      <c r="AY551">
        <v>-1.0499999999999999E-3</v>
      </c>
      <c r="AZ551">
        <v>8.702E-2</v>
      </c>
      <c r="BA551">
        <v>1</v>
      </c>
      <c r="BB551" t="s">
        <v>70</v>
      </c>
      <c r="BC551">
        <v>0.154</v>
      </c>
      <c r="BD551">
        <v>0.154</v>
      </c>
      <c r="BE551" t="s">
        <v>71</v>
      </c>
    </row>
    <row r="552" spans="1:57">
      <c r="A552">
        <v>2371</v>
      </c>
      <c r="B552" t="s">
        <v>2312</v>
      </c>
      <c r="D552" t="s">
        <v>66</v>
      </c>
      <c r="E552" t="s">
        <v>2313</v>
      </c>
      <c r="F552" t="s">
        <v>2314</v>
      </c>
      <c r="G552">
        <v>197</v>
      </c>
      <c r="H552" t="s">
        <v>85</v>
      </c>
      <c r="I552">
        <v>4</v>
      </c>
      <c r="J552" t="str">
        <f>HYPERLINK("Gene2371-zp_tree_all.dnd", "Gene2371-tree")</f>
        <v>Gene2371-tree</v>
      </c>
      <c r="K552">
        <v>3</v>
      </c>
      <c r="L552">
        <v>1</v>
      </c>
      <c r="M552">
        <v>3</v>
      </c>
      <c r="N552">
        <v>1</v>
      </c>
      <c r="O552">
        <v>0.25</v>
      </c>
      <c r="P552" t="s">
        <v>86</v>
      </c>
      <c r="Q552" t="s">
        <v>65</v>
      </c>
      <c r="R552" t="s">
        <v>66</v>
      </c>
      <c r="S552" t="s">
        <v>66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4</v>
      </c>
      <c r="AI552">
        <v>1</v>
      </c>
      <c r="AJ552">
        <v>30</v>
      </c>
      <c r="AK552">
        <v>1</v>
      </c>
      <c r="AL552">
        <v>1</v>
      </c>
      <c r="AM552">
        <v>0</v>
      </c>
      <c r="AN552" t="s">
        <v>2315</v>
      </c>
      <c r="AO552" t="s">
        <v>68</v>
      </c>
      <c r="AP552">
        <v>0.375</v>
      </c>
      <c r="AQ552" t="s">
        <v>69</v>
      </c>
      <c r="AR552">
        <v>31</v>
      </c>
      <c r="AS552">
        <v>1</v>
      </c>
      <c r="AT552">
        <v>2.623E-2</v>
      </c>
      <c r="AU552">
        <v>-9.3399999999999993E-3</v>
      </c>
      <c r="AV552">
        <v>0.12385</v>
      </c>
      <c r="AW552">
        <v>-4.6690000000000002E-2</v>
      </c>
      <c r="AX552">
        <v>1.1100000000000001E-3</v>
      </c>
      <c r="AY552">
        <v>-4.0999999999999999E-4</v>
      </c>
      <c r="AZ552">
        <v>8.9700000000000005E-3</v>
      </c>
      <c r="BA552">
        <v>1</v>
      </c>
      <c r="BB552" t="s">
        <v>70</v>
      </c>
      <c r="BC552">
        <v>-0.54600000000000004</v>
      </c>
      <c r="BD552">
        <v>-0.86099999999999999</v>
      </c>
      <c r="BE552" t="s">
        <v>71</v>
      </c>
    </row>
    <row r="553" spans="1:57">
      <c r="A553">
        <v>2372</v>
      </c>
      <c r="B553" t="s">
        <v>2316</v>
      </c>
      <c r="D553" t="s">
        <v>66</v>
      </c>
      <c r="E553" t="s">
        <v>2317</v>
      </c>
      <c r="F553" t="s">
        <v>2318</v>
      </c>
      <c r="G553">
        <v>251</v>
      </c>
      <c r="H553" t="s">
        <v>63</v>
      </c>
      <c r="I553">
        <v>5</v>
      </c>
      <c r="J553" t="str">
        <f>HYPERLINK("Gene2372-zp_tree_all.dnd", "Gene2372-tree")</f>
        <v>Gene2372-tree</v>
      </c>
      <c r="K553">
        <v>2</v>
      </c>
      <c r="L553">
        <v>3</v>
      </c>
      <c r="M553">
        <v>2</v>
      </c>
      <c r="N553">
        <v>3</v>
      </c>
      <c r="O553">
        <v>0.6</v>
      </c>
      <c r="P553" t="s">
        <v>124</v>
      </c>
      <c r="Q553" t="s">
        <v>86</v>
      </c>
      <c r="R553" t="s">
        <v>66</v>
      </c>
      <c r="S553" t="s">
        <v>66</v>
      </c>
      <c r="T553">
        <v>0</v>
      </c>
      <c r="U553">
        <v>0</v>
      </c>
      <c r="V553">
        <v>7</v>
      </c>
      <c r="W553">
        <v>0</v>
      </c>
      <c r="X553">
        <v>0</v>
      </c>
      <c r="Y553">
        <v>0</v>
      </c>
      <c r="Z553">
        <v>0</v>
      </c>
      <c r="AA553">
        <v>5</v>
      </c>
      <c r="AB553">
        <v>0</v>
      </c>
      <c r="AC553">
        <v>0</v>
      </c>
      <c r="AD553">
        <v>0</v>
      </c>
      <c r="AE553">
        <v>0</v>
      </c>
      <c r="AF553">
        <v>2</v>
      </c>
      <c r="AG553">
        <v>0</v>
      </c>
      <c r="AH553">
        <v>4</v>
      </c>
      <c r="AI553">
        <v>2</v>
      </c>
      <c r="AJ553">
        <v>12</v>
      </c>
      <c r="AK553">
        <v>2</v>
      </c>
      <c r="AL553">
        <v>20</v>
      </c>
      <c r="AM553">
        <v>5</v>
      </c>
      <c r="AN553" t="s">
        <v>2319</v>
      </c>
      <c r="AO553" t="s">
        <v>2320</v>
      </c>
      <c r="AP553">
        <v>0.26800000000000002</v>
      </c>
      <c r="AQ553" t="s">
        <v>69</v>
      </c>
      <c r="AR553">
        <v>32</v>
      </c>
      <c r="AS553">
        <v>7</v>
      </c>
      <c r="AT553">
        <v>2.7359999999999999E-2</v>
      </c>
      <c r="AU553">
        <v>-5.1599999999999997E-3</v>
      </c>
      <c r="AV553">
        <v>0.11654</v>
      </c>
      <c r="AW553">
        <v>-2.3210000000000001E-2</v>
      </c>
      <c r="AX553">
        <v>6.45E-3</v>
      </c>
      <c r="AY553">
        <v>-1.1999999999999999E-3</v>
      </c>
      <c r="AZ553">
        <v>5.5329999999999997E-2</v>
      </c>
      <c r="BA553">
        <v>1</v>
      </c>
      <c r="BB553" t="s">
        <v>70</v>
      </c>
      <c r="BC553">
        <v>0.755</v>
      </c>
      <c r="BD553">
        <v>0.755</v>
      </c>
      <c r="BE553" t="s">
        <v>71</v>
      </c>
    </row>
    <row r="554" spans="1:57">
      <c r="A554">
        <v>2374</v>
      </c>
      <c r="B554" t="s">
        <v>2321</v>
      </c>
      <c r="D554" t="s">
        <v>66</v>
      </c>
      <c r="E554" t="s">
        <v>2322</v>
      </c>
      <c r="F554" t="s">
        <v>2323</v>
      </c>
      <c r="G554">
        <v>124</v>
      </c>
      <c r="H554" t="s">
        <v>63</v>
      </c>
      <c r="I554">
        <v>5</v>
      </c>
      <c r="J554" t="str">
        <f>HYPERLINK("Gene2374-zp_tree_all.dnd", "Gene2374-tree")</f>
        <v>Gene2374-tree</v>
      </c>
      <c r="K554">
        <v>5</v>
      </c>
      <c r="L554">
        <v>0</v>
      </c>
      <c r="M554">
        <v>4</v>
      </c>
      <c r="N554">
        <v>0</v>
      </c>
      <c r="O554">
        <v>0</v>
      </c>
      <c r="P554" t="s">
        <v>135</v>
      </c>
      <c r="Q554" t="s">
        <v>66</v>
      </c>
      <c r="R554" t="s">
        <v>66</v>
      </c>
      <c r="S554" t="s">
        <v>66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3</v>
      </c>
      <c r="AI554">
        <v>1</v>
      </c>
      <c r="AJ554">
        <v>6</v>
      </c>
      <c r="AK554">
        <v>0</v>
      </c>
      <c r="AL554">
        <v>3</v>
      </c>
      <c r="AM554">
        <v>0</v>
      </c>
      <c r="AN554" t="s">
        <v>68</v>
      </c>
      <c r="AO554" t="s">
        <v>68</v>
      </c>
      <c r="AP554">
        <v>0</v>
      </c>
      <c r="AQ554" t="s">
        <v>69</v>
      </c>
      <c r="AR554">
        <v>9</v>
      </c>
      <c r="AS554">
        <v>0</v>
      </c>
      <c r="AT554">
        <v>1.3440000000000001E-2</v>
      </c>
      <c r="AU554">
        <v>-2.0999999999999999E-3</v>
      </c>
      <c r="AV554">
        <v>7.2709999999999997E-2</v>
      </c>
      <c r="AW554">
        <v>-1.157E-2</v>
      </c>
      <c r="AX554">
        <v>0</v>
      </c>
      <c r="AY554">
        <v>0</v>
      </c>
      <c r="AZ554">
        <v>0</v>
      </c>
      <c r="BA554">
        <v>1</v>
      </c>
      <c r="BB554" t="s">
        <v>70</v>
      </c>
      <c r="BC554">
        <v>-0.19700000000000001</v>
      </c>
      <c r="BD554">
        <v>-0.19700000000000001</v>
      </c>
      <c r="BE554" t="s">
        <v>71</v>
      </c>
    </row>
    <row r="555" spans="1:57">
      <c r="A555">
        <v>2375</v>
      </c>
      <c r="B555" t="s">
        <v>2324</v>
      </c>
      <c r="D555" t="s">
        <v>66</v>
      </c>
      <c r="E555" t="s">
        <v>2325</v>
      </c>
      <c r="F555" t="s">
        <v>2326</v>
      </c>
      <c r="G555">
        <v>154</v>
      </c>
      <c r="H555" t="s">
        <v>63</v>
      </c>
      <c r="I555">
        <v>5</v>
      </c>
      <c r="J555" t="str">
        <f>HYPERLINK("Gene2375-zp_tree_all.dnd", "Gene2375-tree")</f>
        <v>Gene2375-tree</v>
      </c>
      <c r="K555">
        <v>5</v>
      </c>
      <c r="L555">
        <v>0</v>
      </c>
      <c r="M555">
        <v>5</v>
      </c>
      <c r="N555">
        <v>0</v>
      </c>
      <c r="O555">
        <v>0</v>
      </c>
      <c r="P555" t="s">
        <v>96</v>
      </c>
      <c r="Q555" t="s">
        <v>66</v>
      </c>
      <c r="R555" t="s">
        <v>66</v>
      </c>
      <c r="S555" t="s">
        <v>66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4</v>
      </c>
      <c r="AI555">
        <v>2</v>
      </c>
      <c r="AJ555">
        <v>12</v>
      </c>
      <c r="AK555">
        <v>0</v>
      </c>
      <c r="AL555">
        <v>11</v>
      </c>
      <c r="AM555">
        <v>0</v>
      </c>
      <c r="AN555" t="s">
        <v>68</v>
      </c>
      <c r="AO555" t="s">
        <v>68</v>
      </c>
      <c r="AP555">
        <v>0</v>
      </c>
      <c r="AQ555" t="s">
        <v>69</v>
      </c>
      <c r="AR555">
        <v>23</v>
      </c>
      <c r="AS555">
        <v>0</v>
      </c>
      <c r="AT555">
        <v>2.4240000000000001E-2</v>
      </c>
      <c r="AU555">
        <v>-4.47E-3</v>
      </c>
      <c r="AV555">
        <v>0.11341</v>
      </c>
      <c r="AW555">
        <v>-2.1499999999999998E-2</v>
      </c>
      <c r="AX555">
        <v>0</v>
      </c>
      <c r="AY555">
        <v>0</v>
      </c>
      <c r="AZ555">
        <v>0</v>
      </c>
      <c r="BA555">
        <v>1</v>
      </c>
      <c r="BB555" t="s">
        <v>70</v>
      </c>
      <c r="BC555">
        <v>0.44900000000000001</v>
      </c>
      <c r="BD555">
        <v>0.44900000000000001</v>
      </c>
      <c r="BE555" t="s">
        <v>71</v>
      </c>
    </row>
    <row r="556" spans="1:57">
      <c r="A556">
        <v>2376</v>
      </c>
      <c r="B556" t="s">
        <v>2327</v>
      </c>
      <c r="D556" t="s">
        <v>66</v>
      </c>
      <c r="E556" t="s">
        <v>2328</v>
      </c>
      <c r="F556" t="s">
        <v>2329</v>
      </c>
      <c r="G556">
        <v>398</v>
      </c>
      <c r="H556" t="s">
        <v>85</v>
      </c>
      <c r="I556">
        <v>4</v>
      </c>
      <c r="J556" t="str">
        <f>HYPERLINK("Gene2376-zp_tree_all.dnd", "Gene2376-tree")</f>
        <v>Gene2376-tree</v>
      </c>
      <c r="K556">
        <v>2</v>
      </c>
      <c r="L556">
        <v>2</v>
      </c>
      <c r="M556">
        <v>2</v>
      </c>
      <c r="N556">
        <v>2</v>
      </c>
      <c r="O556">
        <v>0.5</v>
      </c>
      <c r="P556" t="s">
        <v>124</v>
      </c>
      <c r="Q556" t="s">
        <v>124</v>
      </c>
      <c r="R556" t="s">
        <v>66</v>
      </c>
      <c r="S556" t="s">
        <v>66</v>
      </c>
      <c r="T556">
        <v>0</v>
      </c>
      <c r="U556">
        <v>0</v>
      </c>
      <c r="V556">
        <v>7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7</v>
      </c>
      <c r="AG556">
        <v>0</v>
      </c>
      <c r="AH556">
        <v>4</v>
      </c>
      <c r="AI556">
        <v>1</v>
      </c>
      <c r="AJ556">
        <v>59</v>
      </c>
      <c r="AK556">
        <v>7</v>
      </c>
      <c r="AL556">
        <v>2</v>
      </c>
      <c r="AM556">
        <v>0</v>
      </c>
      <c r="AN556" t="s">
        <v>2330</v>
      </c>
      <c r="AO556" t="s">
        <v>68</v>
      </c>
      <c r="AP556">
        <v>0.63</v>
      </c>
      <c r="AQ556" t="s">
        <v>69</v>
      </c>
      <c r="AR556">
        <v>61</v>
      </c>
      <c r="AS556">
        <v>7</v>
      </c>
      <c r="AT556">
        <v>2.8479999999999998E-2</v>
      </c>
      <c r="AU556">
        <v>-8.2199999999999999E-3</v>
      </c>
      <c r="AV556">
        <v>0.12579000000000001</v>
      </c>
      <c r="AW556">
        <v>-3.8269999999999998E-2</v>
      </c>
      <c r="AX556">
        <v>3.82E-3</v>
      </c>
      <c r="AY556">
        <v>-1.06E-3</v>
      </c>
      <c r="AZ556">
        <v>3.04E-2</v>
      </c>
      <c r="BA556">
        <v>1</v>
      </c>
      <c r="BB556" t="s">
        <v>70</v>
      </c>
      <c r="BC556">
        <v>-0.72699999999999998</v>
      </c>
      <c r="BD556">
        <v>-0.72699999999999998</v>
      </c>
      <c r="BE556" t="s">
        <v>71</v>
      </c>
    </row>
    <row r="557" spans="1:57">
      <c r="A557">
        <v>2377</v>
      </c>
      <c r="B557" t="s">
        <v>2331</v>
      </c>
      <c r="D557" t="s">
        <v>66</v>
      </c>
      <c r="E557" t="s">
        <v>2332</v>
      </c>
      <c r="F557" t="s">
        <v>2333</v>
      </c>
      <c r="G557">
        <v>215</v>
      </c>
      <c r="H557" t="s">
        <v>63</v>
      </c>
      <c r="I557">
        <v>5</v>
      </c>
      <c r="J557" t="str">
        <f>HYPERLINK("Gene2377-zp_tree_all.dnd", "Gene2377-tree")</f>
        <v>Gene2377-tree</v>
      </c>
      <c r="K557">
        <v>1</v>
      </c>
      <c r="L557">
        <v>4</v>
      </c>
      <c r="M557">
        <v>1</v>
      </c>
      <c r="N557">
        <v>4</v>
      </c>
      <c r="O557">
        <v>0.8</v>
      </c>
      <c r="P557" t="s">
        <v>65</v>
      </c>
      <c r="Q557" t="s">
        <v>64</v>
      </c>
      <c r="R557" t="s">
        <v>66</v>
      </c>
      <c r="S557" t="s">
        <v>66</v>
      </c>
      <c r="T557">
        <v>0</v>
      </c>
      <c r="U557">
        <v>0</v>
      </c>
      <c r="V557">
        <v>10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10</v>
      </c>
      <c r="AG557">
        <v>0</v>
      </c>
      <c r="AH557">
        <v>4</v>
      </c>
      <c r="AI557">
        <v>2</v>
      </c>
      <c r="AJ557">
        <v>12</v>
      </c>
      <c r="AK557">
        <v>9</v>
      </c>
      <c r="AL557">
        <v>20</v>
      </c>
      <c r="AM557">
        <v>1</v>
      </c>
      <c r="AN557" t="s">
        <v>2334</v>
      </c>
      <c r="AO557" t="s">
        <v>2335</v>
      </c>
      <c r="AP557">
        <v>3.5739999999999998</v>
      </c>
      <c r="AQ557" t="s">
        <v>239</v>
      </c>
      <c r="AR557">
        <v>32</v>
      </c>
      <c r="AS557">
        <v>10</v>
      </c>
      <c r="AT557">
        <v>3.2250000000000001E-2</v>
      </c>
      <c r="AU557">
        <v>-5.5199999999999997E-3</v>
      </c>
      <c r="AV557">
        <v>0.12937000000000001</v>
      </c>
      <c r="AW557">
        <v>-2.495E-2</v>
      </c>
      <c r="AX557">
        <v>8.4399999999999996E-3</v>
      </c>
      <c r="AY557">
        <v>-1.2999999999999999E-3</v>
      </c>
      <c r="AZ557">
        <v>6.5250000000000002E-2</v>
      </c>
      <c r="BA557">
        <v>1</v>
      </c>
      <c r="BB557" t="s">
        <v>70</v>
      </c>
      <c r="BC557">
        <v>0.42799999999999999</v>
      </c>
      <c r="BD557">
        <v>0.42799999999999999</v>
      </c>
      <c r="BE557" t="s">
        <v>71</v>
      </c>
    </row>
    <row r="558" spans="1:57">
      <c r="A558">
        <v>2379</v>
      </c>
      <c r="B558" t="s">
        <v>2336</v>
      </c>
      <c r="D558" t="s">
        <v>66</v>
      </c>
      <c r="E558" t="s">
        <v>2337</v>
      </c>
      <c r="F558" t="s">
        <v>74</v>
      </c>
      <c r="G558">
        <v>114</v>
      </c>
      <c r="H558" t="s">
        <v>63</v>
      </c>
      <c r="I558">
        <v>5</v>
      </c>
      <c r="J558" t="str">
        <f>HYPERLINK("Gene2379-zp_tree_all.dnd", "Gene2379-tree")</f>
        <v>Gene2379-tree</v>
      </c>
      <c r="K558">
        <v>2</v>
      </c>
      <c r="L558">
        <v>3</v>
      </c>
      <c r="M558">
        <v>2</v>
      </c>
      <c r="N558">
        <v>3</v>
      </c>
      <c r="O558">
        <v>0.6</v>
      </c>
      <c r="P558" t="s">
        <v>124</v>
      </c>
      <c r="Q558" t="s">
        <v>86</v>
      </c>
      <c r="R558" t="s">
        <v>66</v>
      </c>
      <c r="S558" t="s">
        <v>66</v>
      </c>
      <c r="T558">
        <v>1</v>
      </c>
      <c r="U558">
        <v>2</v>
      </c>
      <c r="V558">
        <v>2</v>
      </c>
      <c r="W558">
        <v>0.5</v>
      </c>
      <c r="X558">
        <v>0</v>
      </c>
      <c r="Y558">
        <v>0</v>
      </c>
      <c r="Z558">
        <v>0</v>
      </c>
      <c r="AA558">
        <v>2</v>
      </c>
      <c r="AB558">
        <v>0</v>
      </c>
      <c r="AC558">
        <v>0</v>
      </c>
      <c r="AD558">
        <v>0</v>
      </c>
      <c r="AE558">
        <v>0</v>
      </c>
      <c r="AF558">
        <v>2</v>
      </c>
      <c r="AG558">
        <v>0</v>
      </c>
      <c r="AH558">
        <v>3</v>
      </c>
      <c r="AI558">
        <v>1</v>
      </c>
      <c r="AJ558">
        <v>6</v>
      </c>
      <c r="AK558">
        <v>2</v>
      </c>
      <c r="AL558">
        <v>5</v>
      </c>
      <c r="AM558">
        <v>2</v>
      </c>
      <c r="AN558" t="s">
        <v>2338</v>
      </c>
      <c r="AO558" t="s">
        <v>2339</v>
      </c>
      <c r="AP558">
        <v>0.308</v>
      </c>
      <c r="AQ558" t="s">
        <v>69</v>
      </c>
      <c r="AR558">
        <v>11</v>
      </c>
      <c r="AS558">
        <v>4</v>
      </c>
      <c r="AT558">
        <v>2.0760000000000001E-2</v>
      </c>
      <c r="AU558">
        <v>-3.3999999999999998E-3</v>
      </c>
      <c r="AV558">
        <v>7.1410000000000001E-2</v>
      </c>
      <c r="AW558">
        <v>-1.329E-2</v>
      </c>
      <c r="AX558">
        <v>7.5700000000000003E-3</v>
      </c>
      <c r="AY558">
        <v>-9.3000000000000005E-4</v>
      </c>
      <c r="AZ558">
        <v>0.10598</v>
      </c>
      <c r="BA558">
        <v>1</v>
      </c>
      <c r="BB558" t="s">
        <v>70</v>
      </c>
      <c r="BC558">
        <v>0.41199999999999998</v>
      </c>
      <c r="BD558">
        <v>-0.13</v>
      </c>
      <c r="BE558" t="s">
        <v>71</v>
      </c>
    </row>
    <row r="559" spans="1:57">
      <c r="A559">
        <v>2385</v>
      </c>
      <c r="B559" t="s">
        <v>2340</v>
      </c>
      <c r="D559" t="s">
        <v>66</v>
      </c>
      <c r="E559" t="s">
        <v>2341</v>
      </c>
      <c r="F559" t="s">
        <v>2342</v>
      </c>
      <c r="G559">
        <v>143</v>
      </c>
      <c r="H559" t="s">
        <v>85</v>
      </c>
      <c r="I559">
        <v>4</v>
      </c>
      <c r="J559" t="str">
        <f>HYPERLINK("Gene2385-zp_tree_all.dnd", "Gene2385-tree")</f>
        <v>Gene2385-tree</v>
      </c>
      <c r="K559">
        <v>3</v>
      </c>
      <c r="L559">
        <v>1</v>
      </c>
      <c r="M559">
        <v>3</v>
      </c>
      <c r="N559">
        <v>1</v>
      </c>
      <c r="O559">
        <v>0.25</v>
      </c>
      <c r="P559" t="s">
        <v>86</v>
      </c>
      <c r="Q559" t="s">
        <v>65</v>
      </c>
      <c r="R559" t="s">
        <v>66</v>
      </c>
      <c r="S559" t="s">
        <v>66</v>
      </c>
      <c r="T559">
        <v>0</v>
      </c>
      <c r="U559">
        <v>0</v>
      </c>
      <c r="V559">
        <v>1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</v>
      </c>
      <c r="AG559">
        <v>0</v>
      </c>
      <c r="AH559">
        <v>4</v>
      </c>
      <c r="AI559">
        <v>1</v>
      </c>
      <c r="AJ559">
        <v>24</v>
      </c>
      <c r="AK559">
        <v>1</v>
      </c>
      <c r="AL559">
        <v>2</v>
      </c>
      <c r="AM559">
        <v>0</v>
      </c>
      <c r="AN559" t="s">
        <v>2343</v>
      </c>
      <c r="AO559" t="s">
        <v>68</v>
      </c>
      <c r="AP559">
        <v>0.44800000000000001</v>
      </c>
      <c r="AQ559" t="s">
        <v>69</v>
      </c>
      <c r="AR559">
        <v>26</v>
      </c>
      <c r="AS559">
        <v>1</v>
      </c>
      <c r="AT559">
        <v>2.9909999999999999E-2</v>
      </c>
      <c r="AU559">
        <v>-7.1900000000000002E-3</v>
      </c>
      <c r="AV559">
        <v>0.14327999999999999</v>
      </c>
      <c r="AW559">
        <v>-3.8929999999999999E-2</v>
      </c>
      <c r="AX559">
        <v>1.5200000000000001E-3</v>
      </c>
      <c r="AY559">
        <v>-4.4000000000000002E-4</v>
      </c>
      <c r="AZ559">
        <v>1.057E-2</v>
      </c>
      <c r="BA559">
        <v>1</v>
      </c>
      <c r="BB559" t="s">
        <v>70</v>
      </c>
      <c r="BC559">
        <v>-0.20300000000000001</v>
      </c>
      <c r="BD559">
        <v>-0.20300000000000001</v>
      </c>
      <c r="BE559" t="s">
        <v>71</v>
      </c>
    </row>
    <row r="560" spans="1:57">
      <c r="A560">
        <v>2389</v>
      </c>
      <c r="B560" t="s">
        <v>2344</v>
      </c>
      <c r="D560" t="s">
        <v>66</v>
      </c>
      <c r="E560" t="s">
        <v>2345</v>
      </c>
      <c r="F560" t="s">
        <v>2346</v>
      </c>
      <c r="G560">
        <v>203</v>
      </c>
      <c r="H560" t="s">
        <v>85</v>
      </c>
      <c r="I560">
        <v>4</v>
      </c>
      <c r="J560" t="str">
        <f>HYPERLINK("Gene2389-zp_tree_all.dnd", "Gene2389-tree")</f>
        <v>Gene2389-tree</v>
      </c>
      <c r="K560">
        <v>3</v>
      </c>
      <c r="L560">
        <v>1</v>
      </c>
      <c r="M560">
        <v>3</v>
      </c>
      <c r="N560">
        <v>1</v>
      </c>
      <c r="O560">
        <v>0.25</v>
      </c>
      <c r="P560" t="s">
        <v>86</v>
      </c>
      <c r="Q560" t="s">
        <v>65</v>
      </c>
      <c r="R560" t="s">
        <v>66</v>
      </c>
      <c r="S560" t="s">
        <v>66</v>
      </c>
      <c r="T560">
        <v>0</v>
      </c>
      <c r="U560">
        <v>0</v>
      </c>
      <c r="V560">
        <v>7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7</v>
      </c>
      <c r="AG560">
        <v>0</v>
      </c>
      <c r="AH560">
        <v>3</v>
      </c>
      <c r="AI560">
        <v>1</v>
      </c>
      <c r="AJ560">
        <v>24</v>
      </c>
      <c r="AK560">
        <v>8</v>
      </c>
      <c r="AL560">
        <v>1</v>
      </c>
      <c r="AM560">
        <v>0</v>
      </c>
      <c r="AN560" t="s">
        <v>2347</v>
      </c>
      <c r="AO560" t="s">
        <v>68</v>
      </c>
      <c r="AP560">
        <v>0.51400000000000001</v>
      </c>
      <c r="AQ560" t="s">
        <v>69</v>
      </c>
      <c r="AR560">
        <v>25</v>
      </c>
      <c r="AS560">
        <v>8</v>
      </c>
      <c r="AT560">
        <v>2.7369999999999998E-2</v>
      </c>
      <c r="AU560">
        <v>-9.41E-3</v>
      </c>
      <c r="AV560">
        <v>9.5820000000000002E-2</v>
      </c>
      <c r="AW560">
        <v>-3.1699999999999999E-2</v>
      </c>
      <c r="AX560">
        <v>8.7500000000000008E-3</v>
      </c>
      <c r="AY560">
        <v>-3.5699999999999998E-3</v>
      </c>
      <c r="AZ560">
        <v>9.1329999999999995E-2</v>
      </c>
      <c r="BA560">
        <v>1</v>
      </c>
      <c r="BB560" t="s">
        <v>70</v>
      </c>
      <c r="BC560">
        <v>-0.76700000000000002</v>
      </c>
      <c r="BD560">
        <v>-0.76700000000000002</v>
      </c>
      <c r="BE560" t="s">
        <v>71</v>
      </c>
    </row>
    <row r="561" spans="1:57">
      <c r="A561">
        <v>2395</v>
      </c>
      <c r="B561" t="s">
        <v>2348</v>
      </c>
      <c r="D561" t="s">
        <v>66</v>
      </c>
      <c r="E561" t="s">
        <v>2349</v>
      </c>
      <c r="F561" t="s">
        <v>2350</v>
      </c>
      <c r="G561">
        <v>255</v>
      </c>
      <c r="H561" t="s">
        <v>63</v>
      </c>
      <c r="I561">
        <v>5</v>
      </c>
      <c r="J561" t="str">
        <f>HYPERLINK("Gene2395-zp_tree_all.dnd", "Gene2395-tree")</f>
        <v>Gene2395-tree</v>
      </c>
      <c r="K561">
        <v>4</v>
      </c>
      <c r="L561">
        <v>1</v>
      </c>
      <c r="M561">
        <v>4</v>
      </c>
      <c r="N561">
        <v>1</v>
      </c>
      <c r="O561">
        <v>0.2</v>
      </c>
      <c r="P561" t="s">
        <v>64</v>
      </c>
      <c r="Q561" t="s">
        <v>65</v>
      </c>
      <c r="R561" t="s">
        <v>66</v>
      </c>
      <c r="S561" t="s">
        <v>66</v>
      </c>
      <c r="T561">
        <v>0</v>
      </c>
      <c r="U561">
        <v>0</v>
      </c>
      <c r="V561">
        <v>2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2</v>
      </c>
      <c r="AG561">
        <v>0</v>
      </c>
      <c r="AH561">
        <v>4</v>
      </c>
      <c r="AI561">
        <v>2</v>
      </c>
      <c r="AJ561">
        <v>10</v>
      </c>
      <c r="AK561">
        <v>2</v>
      </c>
      <c r="AL561">
        <v>24</v>
      </c>
      <c r="AM561">
        <v>0</v>
      </c>
      <c r="AN561" t="s">
        <v>2351</v>
      </c>
      <c r="AO561" t="s">
        <v>68</v>
      </c>
      <c r="AP561">
        <v>0.57999999999999996</v>
      </c>
      <c r="AQ561" t="s">
        <v>69</v>
      </c>
      <c r="AR561">
        <v>34</v>
      </c>
      <c r="AS561">
        <v>2</v>
      </c>
      <c r="AT561">
        <v>2.4410000000000001E-2</v>
      </c>
      <c r="AU561">
        <v>-4.6600000000000001E-3</v>
      </c>
      <c r="AV561">
        <v>0.11948</v>
      </c>
      <c r="AW561">
        <v>-2.392E-2</v>
      </c>
      <c r="AX561">
        <v>1.3500000000000001E-3</v>
      </c>
      <c r="AY561">
        <v>-5.1999999999999995E-4</v>
      </c>
      <c r="AZ561">
        <v>1.1259999999999999E-2</v>
      </c>
      <c r="BA561">
        <v>1</v>
      </c>
      <c r="BB561" t="s">
        <v>70</v>
      </c>
      <c r="BC561">
        <v>1.0469999999999999</v>
      </c>
      <c r="BD561">
        <v>0.58799999999999997</v>
      </c>
      <c r="BE561" t="s">
        <v>71</v>
      </c>
    </row>
    <row r="562" spans="1:57">
      <c r="A562">
        <v>2397</v>
      </c>
      <c r="B562" t="s">
        <v>2352</v>
      </c>
      <c r="D562" t="s">
        <v>66</v>
      </c>
      <c r="E562" t="s">
        <v>2353</v>
      </c>
      <c r="F562" t="s">
        <v>2354</v>
      </c>
      <c r="G562">
        <v>117</v>
      </c>
      <c r="H562" t="s">
        <v>63</v>
      </c>
      <c r="I562">
        <v>5</v>
      </c>
      <c r="J562" t="str">
        <f>HYPERLINK("Gene2397-zp_tree_all.dnd", "Gene2397-tree")</f>
        <v>Gene2397-tree</v>
      </c>
      <c r="K562">
        <v>5</v>
      </c>
      <c r="L562">
        <v>0</v>
      </c>
      <c r="M562">
        <v>4</v>
      </c>
      <c r="N562">
        <v>0</v>
      </c>
      <c r="O562">
        <v>0</v>
      </c>
      <c r="P562" t="s">
        <v>135</v>
      </c>
      <c r="Q562" t="s">
        <v>66</v>
      </c>
      <c r="R562" t="s">
        <v>66</v>
      </c>
      <c r="S562" t="s">
        <v>66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4</v>
      </c>
      <c r="AI562">
        <v>1</v>
      </c>
      <c r="AJ562">
        <v>9</v>
      </c>
      <c r="AK562">
        <v>0</v>
      </c>
      <c r="AL562">
        <v>9</v>
      </c>
      <c r="AM562">
        <v>1</v>
      </c>
      <c r="AN562" t="s">
        <v>68</v>
      </c>
      <c r="AO562" t="s">
        <v>2355</v>
      </c>
      <c r="AP562">
        <v>0</v>
      </c>
      <c r="AQ562" t="s">
        <v>69</v>
      </c>
      <c r="AR562">
        <v>18</v>
      </c>
      <c r="AS562">
        <v>1</v>
      </c>
      <c r="AT562">
        <v>3.1809999999999998E-2</v>
      </c>
      <c r="AU562">
        <v>-5.7499999999999999E-3</v>
      </c>
      <c r="AV562">
        <v>0.14629</v>
      </c>
      <c r="AW562">
        <v>-2.726E-2</v>
      </c>
      <c r="AX562">
        <v>2.47E-3</v>
      </c>
      <c r="AY562">
        <v>-5.8E-4</v>
      </c>
      <c r="AZ562">
        <v>1.6889999999999999E-2</v>
      </c>
      <c r="BA562">
        <v>1</v>
      </c>
      <c r="BB562" t="s">
        <v>70</v>
      </c>
      <c r="BC562">
        <v>0.874</v>
      </c>
      <c r="BD562">
        <v>0.874</v>
      </c>
      <c r="BE562" t="s">
        <v>71</v>
      </c>
    </row>
    <row r="563" spans="1:57">
      <c r="A563">
        <v>2403</v>
      </c>
      <c r="B563" t="s">
        <v>2358</v>
      </c>
      <c r="D563" t="s">
        <v>66</v>
      </c>
      <c r="E563" t="s">
        <v>2359</v>
      </c>
      <c r="F563" t="s">
        <v>2360</v>
      </c>
      <c r="G563">
        <v>149</v>
      </c>
      <c r="H563" t="s">
        <v>63</v>
      </c>
      <c r="I563">
        <v>5</v>
      </c>
      <c r="J563" t="str">
        <f>HYPERLINK("Gene2403-zp_tree_all.dnd", "Gene2403-tree")</f>
        <v>Gene2403-tree</v>
      </c>
      <c r="K563">
        <v>4</v>
      </c>
      <c r="L563">
        <v>1</v>
      </c>
      <c r="M563">
        <v>4</v>
      </c>
      <c r="N563">
        <v>1</v>
      </c>
      <c r="O563">
        <v>0.2</v>
      </c>
      <c r="P563" t="s">
        <v>64</v>
      </c>
      <c r="Q563" t="s">
        <v>65</v>
      </c>
      <c r="R563" t="s">
        <v>66</v>
      </c>
      <c r="S563" t="s">
        <v>66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3</v>
      </c>
      <c r="AI563">
        <v>2</v>
      </c>
      <c r="AJ563">
        <v>3</v>
      </c>
      <c r="AK563">
        <v>1</v>
      </c>
      <c r="AL563">
        <v>7</v>
      </c>
      <c r="AM563">
        <v>0</v>
      </c>
      <c r="AN563" t="s">
        <v>2361</v>
      </c>
      <c r="AO563" t="s">
        <v>68</v>
      </c>
      <c r="AP563">
        <v>0.64900000000000002</v>
      </c>
      <c r="AQ563" t="s">
        <v>69</v>
      </c>
      <c r="AR563">
        <v>10</v>
      </c>
      <c r="AS563">
        <v>1</v>
      </c>
      <c r="AT563">
        <v>1.298E-2</v>
      </c>
      <c r="AU563">
        <v>-2.3E-3</v>
      </c>
      <c r="AV563">
        <v>6.0420000000000001E-2</v>
      </c>
      <c r="AW563">
        <v>-1.1950000000000001E-2</v>
      </c>
      <c r="AX563">
        <v>1.14E-3</v>
      </c>
      <c r="AY563">
        <v>-3.8999999999999999E-4</v>
      </c>
      <c r="AZ563">
        <v>1.8849999999999999E-2</v>
      </c>
      <c r="BA563">
        <v>1</v>
      </c>
      <c r="BB563" t="s">
        <v>70</v>
      </c>
      <c r="BC563">
        <v>0.70899999999999996</v>
      </c>
      <c r="BD563">
        <v>0.70899999999999996</v>
      </c>
      <c r="BE563" t="s">
        <v>71</v>
      </c>
    </row>
    <row r="564" spans="1:57">
      <c r="A564">
        <v>2409</v>
      </c>
      <c r="B564" t="s">
        <v>2362</v>
      </c>
      <c r="D564" t="s">
        <v>66</v>
      </c>
      <c r="E564" t="s">
        <v>2363</v>
      </c>
      <c r="F564" t="s">
        <v>2364</v>
      </c>
      <c r="G564">
        <v>329</v>
      </c>
      <c r="H564" t="s">
        <v>63</v>
      </c>
      <c r="I564">
        <v>5</v>
      </c>
      <c r="J564" t="str">
        <f>HYPERLINK("Gene2409-zp_tree_all.dnd", "Gene2409-tree")</f>
        <v>Gene2409-tree</v>
      </c>
      <c r="K564">
        <v>3</v>
      </c>
      <c r="L564">
        <v>2</v>
      </c>
      <c r="M564">
        <v>3</v>
      </c>
      <c r="N564">
        <v>2</v>
      </c>
      <c r="O564">
        <v>0.4</v>
      </c>
      <c r="P564" t="s">
        <v>86</v>
      </c>
      <c r="Q564" t="s">
        <v>124</v>
      </c>
      <c r="R564" t="s">
        <v>66</v>
      </c>
      <c r="S564" t="s">
        <v>66</v>
      </c>
      <c r="T564">
        <v>0</v>
      </c>
      <c r="U564">
        <v>0</v>
      </c>
      <c r="V564">
        <v>3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0</v>
      </c>
      <c r="AF564">
        <v>2</v>
      </c>
      <c r="AG564">
        <v>0</v>
      </c>
      <c r="AH564">
        <v>5</v>
      </c>
      <c r="AI564">
        <v>2</v>
      </c>
      <c r="AJ564">
        <v>29</v>
      </c>
      <c r="AK564">
        <v>2</v>
      </c>
      <c r="AL564">
        <v>26</v>
      </c>
      <c r="AM564">
        <v>1</v>
      </c>
      <c r="AN564" t="s">
        <v>2365</v>
      </c>
      <c r="AO564" t="s">
        <v>2366</v>
      </c>
      <c r="AP564">
        <v>0.42599999999999999</v>
      </c>
      <c r="AQ564" t="s">
        <v>69</v>
      </c>
      <c r="AR564">
        <v>55</v>
      </c>
      <c r="AS564">
        <v>3</v>
      </c>
      <c r="AT564">
        <v>2.8060000000000002E-2</v>
      </c>
      <c r="AU564">
        <v>-4.6299999999999996E-3</v>
      </c>
      <c r="AV564">
        <v>0.13014000000000001</v>
      </c>
      <c r="AW564">
        <v>-2.2679999999999999E-2</v>
      </c>
      <c r="AX564">
        <v>1.8400000000000001E-3</v>
      </c>
      <c r="AY564">
        <v>-3.3E-4</v>
      </c>
      <c r="AZ564">
        <v>1.4149999999999999E-2</v>
      </c>
      <c r="BA564">
        <v>1</v>
      </c>
      <c r="BB564" t="s">
        <v>70</v>
      </c>
      <c r="BC564">
        <v>0.51900000000000002</v>
      </c>
      <c r="BD564">
        <v>0.25600000000000001</v>
      </c>
      <c r="BE564" t="s">
        <v>71</v>
      </c>
    </row>
    <row r="565" spans="1:57">
      <c r="A565">
        <v>2417</v>
      </c>
      <c r="B565" t="s">
        <v>2369</v>
      </c>
      <c r="D565" t="s">
        <v>66</v>
      </c>
      <c r="E565" t="s">
        <v>2370</v>
      </c>
      <c r="F565" t="s">
        <v>74</v>
      </c>
      <c r="G565">
        <v>107</v>
      </c>
      <c r="H565" t="s">
        <v>63</v>
      </c>
      <c r="I565">
        <v>5</v>
      </c>
      <c r="J565" t="str">
        <f>HYPERLINK("Gene2417-zp_tree_all.dnd", "Gene2417-tree")</f>
        <v>Gene2417-tree</v>
      </c>
      <c r="K565">
        <v>5</v>
      </c>
      <c r="L565">
        <v>0</v>
      </c>
      <c r="M565">
        <v>5</v>
      </c>
      <c r="N565">
        <v>0</v>
      </c>
      <c r="O565">
        <v>0</v>
      </c>
      <c r="P565" t="s">
        <v>96</v>
      </c>
      <c r="Q565" t="s">
        <v>66</v>
      </c>
      <c r="R565" t="s">
        <v>66</v>
      </c>
      <c r="S565" t="s">
        <v>66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3</v>
      </c>
      <c r="AI565">
        <v>1</v>
      </c>
      <c r="AJ565">
        <v>4</v>
      </c>
      <c r="AK565">
        <v>0</v>
      </c>
      <c r="AL565">
        <v>8</v>
      </c>
      <c r="AM565">
        <v>0</v>
      </c>
      <c r="AN565" t="s">
        <v>68</v>
      </c>
      <c r="AO565" t="s">
        <v>68</v>
      </c>
      <c r="AP565">
        <v>0</v>
      </c>
      <c r="AQ565" t="s">
        <v>69</v>
      </c>
      <c r="AR565">
        <v>12</v>
      </c>
      <c r="AS565">
        <v>0</v>
      </c>
      <c r="AT565">
        <v>1.9939999999999999E-2</v>
      </c>
      <c r="AU565">
        <v>-3.8500000000000001E-3</v>
      </c>
      <c r="AV565">
        <v>9.9210000000000007E-2</v>
      </c>
      <c r="AW565">
        <v>-1.966E-2</v>
      </c>
      <c r="AX565">
        <v>0</v>
      </c>
      <c r="AY565">
        <v>0</v>
      </c>
      <c r="AZ565">
        <v>0</v>
      </c>
      <c r="BA565">
        <v>1</v>
      </c>
      <c r="BB565" t="s">
        <v>70</v>
      </c>
      <c r="BC565">
        <v>0.80400000000000005</v>
      </c>
      <c r="BD565">
        <v>0.80400000000000005</v>
      </c>
      <c r="BE565" t="s">
        <v>71</v>
      </c>
    </row>
    <row r="566" spans="1:57">
      <c r="A566">
        <v>2420</v>
      </c>
      <c r="B566" t="s">
        <v>2371</v>
      </c>
      <c r="D566" t="s">
        <v>66</v>
      </c>
      <c r="E566" t="s">
        <v>2372</v>
      </c>
      <c r="F566" t="s">
        <v>74</v>
      </c>
      <c r="G566">
        <v>156</v>
      </c>
      <c r="H566" t="s">
        <v>85</v>
      </c>
      <c r="I566">
        <v>4</v>
      </c>
      <c r="J566" t="str">
        <f>HYPERLINK("Gene2420-zp_tree_all.dnd", "Gene2420-tree")</f>
        <v>Gene2420-tree</v>
      </c>
      <c r="K566">
        <v>1</v>
      </c>
      <c r="L566">
        <v>3</v>
      </c>
      <c r="M566">
        <v>1</v>
      </c>
      <c r="N566">
        <v>3</v>
      </c>
      <c r="O566">
        <v>0.75</v>
      </c>
      <c r="P566" t="s">
        <v>65</v>
      </c>
      <c r="Q566" t="s">
        <v>86</v>
      </c>
      <c r="R566" t="s">
        <v>66</v>
      </c>
      <c r="S566" t="s">
        <v>66</v>
      </c>
      <c r="T566">
        <v>0</v>
      </c>
      <c r="U566">
        <v>0</v>
      </c>
      <c r="V566">
        <v>5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5</v>
      </c>
      <c r="AG566">
        <v>0</v>
      </c>
      <c r="AH566">
        <v>4</v>
      </c>
      <c r="AI566">
        <v>1</v>
      </c>
      <c r="AJ566">
        <v>24</v>
      </c>
      <c r="AK566">
        <v>5</v>
      </c>
      <c r="AL566">
        <v>1</v>
      </c>
      <c r="AM566">
        <v>0</v>
      </c>
      <c r="AN566" t="s">
        <v>2373</v>
      </c>
      <c r="AO566" t="s">
        <v>68</v>
      </c>
      <c r="AP566">
        <v>1.3779999999999999</v>
      </c>
      <c r="AQ566" t="s">
        <v>69</v>
      </c>
      <c r="AR566">
        <v>25</v>
      </c>
      <c r="AS566">
        <v>5</v>
      </c>
      <c r="AT566">
        <v>3.0269999999999998E-2</v>
      </c>
      <c r="AU566">
        <v>-6.6699999999999997E-3</v>
      </c>
      <c r="AV566">
        <v>0.12801000000000001</v>
      </c>
      <c r="AW566">
        <v>-3.125E-2</v>
      </c>
      <c r="AX566">
        <v>6.8700000000000002E-3</v>
      </c>
      <c r="AY566">
        <v>-1.42E-3</v>
      </c>
      <c r="AZ566">
        <v>5.3670000000000002E-2</v>
      </c>
      <c r="BA566">
        <v>1</v>
      </c>
      <c r="BB566" t="s">
        <v>70</v>
      </c>
      <c r="BC566">
        <v>-0.39300000000000002</v>
      </c>
      <c r="BD566">
        <v>-0.39300000000000002</v>
      </c>
      <c r="BE566" t="s">
        <v>71</v>
      </c>
    </row>
    <row r="567" spans="1:57">
      <c r="A567">
        <v>2422</v>
      </c>
      <c r="B567" t="s">
        <v>2374</v>
      </c>
      <c r="D567" t="s">
        <v>66</v>
      </c>
      <c r="E567" t="s">
        <v>2375</v>
      </c>
      <c r="F567" t="s">
        <v>2376</v>
      </c>
      <c r="G567">
        <v>412</v>
      </c>
      <c r="H567" t="s">
        <v>85</v>
      </c>
      <c r="I567">
        <v>4</v>
      </c>
      <c r="J567" t="str">
        <f>HYPERLINK("Gene2422-zp_tree_all.dnd", "Gene2422-tree")</f>
        <v>Gene2422-tree</v>
      </c>
      <c r="K567">
        <v>1</v>
      </c>
      <c r="L567">
        <v>3</v>
      </c>
      <c r="M567">
        <v>1</v>
      </c>
      <c r="N567">
        <v>3</v>
      </c>
      <c r="O567">
        <v>0.75</v>
      </c>
      <c r="P567" t="s">
        <v>65</v>
      </c>
      <c r="Q567" t="s">
        <v>86</v>
      </c>
      <c r="R567" t="s">
        <v>66</v>
      </c>
      <c r="S567" t="s">
        <v>66</v>
      </c>
      <c r="T567">
        <v>0</v>
      </c>
      <c r="U567">
        <v>0</v>
      </c>
      <c r="V567">
        <v>10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10</v>
      </c>
      <c r="AG567">
        <v>0</v>
      </c>
      <c r="AH567">
        <v>4</v>
      </c>
      <c r="AI567">
        <v>1</v>
      </c>
      <c r="AJ567">
        <v>60</v>
      </c>
      <c r="AK567">
        <v>11</v>
      </c>
      <c r="AL567">
        <v>6</v>
      </c>
      <c r="AM567">
        <v>0</v>
      </c>
      <c r="AN567" t="s">
        <v>2377</v>
      </c>
      <c r="AO567" t="s">
        <v>68</v>
      </c>
      <c r="AP567">
        <v>0.73499999999999999</v>
      </c>
      <c r="AQ567" t="s">
        <v>69</v>
      </c>
      <c r="AR567">
        <v>66</v>
      </c>
      <c r="AS567">
        <v>11</v>
      </c>
      <c r="AT567">
        <v>3.0609999999999998E-2</v>
      </c>
      <c r="AU567">
        <v>-7.6800000000000002E-3</v>
      </c>
      <c r="AV567">
        <v>0.12701999999999999</v>
      </c>
      <c r="AW567">
        <v>-3.3259999999999998E-2</v>
      </c>
      <c r="AX567">
        <v>6.1599999999999997E-3</v>
      </c>
      <c r="AY567">
        <v>-1.6999999999999999E-3</v>
      </c>
      <c r="AZ567">
        <v>4.8480000000000002E-2</v>
      </c>
      <c r="BA567">
        <v>1</v>
      </c>
      <c r="BB567" t="s">
        <v>70</v>
      </c>
      <c r="BC567">
        <v>-0.38300000000000001</v>
      </c>
      <c r="BD567">
        <v>-0.64900000000000002</v>
      </c>
      <c r="BE567" t="s">
        <v>71</v>
      </c>
    </row>
    <row r="568" spans="1:57">
      <c r="A568">
        <v>2437</v>
      </c>
      <c r="B568" t="s">
        <v>2378</v>
      </c>
      <c r="D568" t="s">
        <v>66</v>
      </c>
      <c r="E568" t="s">
        <v>2379</v>
      </c>
      <c r="F568" t="s">
        <v>2380</v>
      </c>
      <c r="G568">
        <v>469</v>
      </c>
      <c r="H568" t="s">
        <v>63</v>
      </c>
      <c r="I568">
        <v>5</v>
      </c>
      <c r="J568" t="str">
        <f>HYPERLINK("Gene2437-zp_tree_all.dnd", "Gene2437-tree")</f>
        <v>Gene2437-tree</v>
      </c>
      <c r="K568">
        <v>4</v>
      </c>
      <c r="L568">
        <v>1</v>
      </c>
      <c r="M568">
        <v>4</v>
      </c>
      <c r="N568">
        <v>1</v>
      </c>
      <c r="O568">
        <v>0.2</v>
      </c>
      <c r="P568" t="s">
        <v>64</v>
      </c>
      <c r="Q568" t="s">
        <v>65</v>
      </c>
      <c r="R568" t="s">
        <v>66</v>
      </c>
      <c r="S568" t="s">
        <v>66</v>
      </c>
      <c r="T568">
        <v>0</v>
      </c>
      <c r="U568">
        <v>0</v>
      </c>
      <c r="V568">
        <v>2</v>
      </c>
      <c r="W568">
        <v>0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>
        <v>5</v>
      </c>
      <c r="AI568">
        <v>2</v>
      </c>
      <c r="AJ568">
        <v>52</v>
      </c>
      <c r="AK568">
        <v>1</v>
      </c>
      <c r="AL568">
        <v>48</v>
      </c>
      <c r="AM568">
        <v>1</v>
      </c>
      <c r="AN568" t="s">
        <v>2381</v>
      </c>
      <c r="AO568" t="s">
        <v>2382</v>
      </c>
      <c r="AP568">
        <v>1.4999999999999999E-2</v>
      </c>
      <c r="AQ568" t="s">
        <v>69</v>
      </c>
      <c r="AR568">
        <v>100</v>
      </c>
      <c r="AS568">
        <v>2</v>
      </c>
      <c r="AT568">
        <v>3.397E-2</v>
      </c>
      <c r="AU568">
        <v>-5.6299999999999996E-3</v>
      </c>
      <c r="AV568">
        <v>0.16561000000000001</v>
      </c>
      <c r="AW568">
        <v>-2.8400000000000002E-2</v>
      </c>
      <c r="AX568">
        <v>9.2000000000000003E-4</v>
      </c>
      <c r="AY568">
        <v>-2.3000000000000001E-4</v>
      </c>
      <c r="AZ568">
        <v>5.5799999999999999E-3</v>
      </c>
      <c r="BA568">
        <v>1</v>
      </c>
      <c r="BB568" t="s">
        <v>70</v>
      </c>
      <c r="BC568">
        <v>0.53800000000000003</v>
      </c>
      <c r="BD568">
        <v>-4.1000000000000002E-2</v>
      </c>
      <c r="BE568" t="s">
        <v>71</v>
      </c>
    </row>
    <row r="569" spans="1:57">
      <c r="A569">
        <v>2448</v>
      </c>
      <c r="B569" t="s">
        <v>2390</v>
      </c>
      <c r="D569" t="s">
        <v>66</v>
      </c>
      <c r="E569" t="s">
        <v>2391</v>
      </c>
      <c r="F569" t="s">
        <v>2392</v>
      </c>
      <c r="G569">
        <v>219</v>
      </c>
      <c r="H569" t="s">
        <v>85</v>
      </c>
      <c r="I569">
        <v>4</v>
      </c>
      <c r="J569" t="str">
        <f>HYPERLINK("Gene2448-zp_tree_all.dnd", "Gene2448-tree")</f>
        <v>Gene2448-tree</v>
      </c>
      <c r="K569">
        <v>3</v>
      </c>
      <c r="L569">
        <v>1</v>
      </c>
      <c r="M569">
        <v>3</v>
      </c>
      <c r="N569">
        <v>1</v>
      </c>
      <c r="O569">
        <v>0.25</v>
      </c>
      <c r="P569" t="s">
        <v>86</v>
      </c>
      <c r="Q569" t="s">
        <v>65</v>
      </c>
      <c r="R569" t="s">
        <v>66</v>
      </c>
      <c r="S569" t="s">
        <v>66</v>
      </c>
      <c r="T569">
        <v>0</v>
      </c>
      <c r="U569">
        <v>0</v>
      </c>
      <c r="V569">
        <v>3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3</v>
      </c>
      <c r="AG569">
        <v>0</v>
      </c>
      <c r="AH569">
        <v>4</v>
      </c>
      <c r="AI569">
        <v>1</v>
      </c>
      <c r="AJ569">
        <v>31</v>
      </c>
      <c r="AK569">
        <v>3</v>
      </c>
      <c r="AL569">
        <v>2</v>
      </c>
      <c r="AM569">
        <v>0</v>
      </c>
      <c r="AN569" t="s">
        <v>2393</v>
      </c>
      <c r="AO569" t="s">
        <v>68</v>
      </c>
      <c r="AP569">
        <v>0.38900000000000001</v>
      </c>
      <c r="AQ569" t="s">
        <v>69</v>
      </c>
      <c r="AR569">
        <v>33</v>
      </c>
      <c r="AS569">
        <v>3</v>
      </c>
      <c r="AT569">
        <v>2.6380000000000001E-2</v>
      </c>
      <c r="AU569">
        <v>-9.1199999999999996E-3</v>
      </c>
      <c r="AV569">
        <v>0.10882</v>
      </c>
      <c r="AW569">
        <v>-3.7780000000000001E-2</v>
      </c>
      <c r="AX569">
        <v>3.0599999999999998E-3</v>
      </c>
      <c r="AY569">
        <v>-1.25E-3</v>
      </c>
      <c r="AZ569">
        <v>2.809E-2</v>
      </c>
      <c r="BA569">
        <v>1</v>
      </c>
      <c r="BB569" t="s">
        <v>70</v>
      </c>
      <c r="BC569">
        <v>-0.38300000000000001</v>
      </c>
      <c r="BD569">
        <v>-0.95899999999999996</v>
      </c>
      <c r="BE569" t="s">
        <v>71</v>
      </c>
    </row>
    <row r="570" spans="1:57">
      <c r="A570">
        <v>2449</v>
      </c>
      <c r="B570" t="s">
        <v>2394</v>
      </c>
      <c r="D570" t="s">
        <v>66</v>
      </c>
      <c r="E570" t="s">
        <v>2395</v>
      </c>
      <c r="F570" t="s">
        <v>2396</v>
      </c>
      <c r="G570">
        <v>255</v>
      </c>
      <c r="H570" t="s">
        <v>63</v>
      </c>
      <c r="I570">
        <v>5</v>
      </c>
      <c r="J570" t="str">
        <f>HYPERLINK("Gene2449-zp_tree_all.dnd", "Gene2449-tree")</f>
        <v>Gene2449-tree</v>
      </c>
      <c r="K570">
        <v>2</v>
      </c>
      <c r="L570">
        <v>3</v>
      </c>
      <c r="M570">
        <v>2</v>
      </c>
      <c r="N570">
        <v>3</v>
      </c>
      <c r="O570">
        <v>0.6</v>
      </c>
      <c r="P570" t="s">
        <v>124</v>
      </c>
      <c r="Q570" t="s">
        <v>86</v>
      </c>
      <c r="R570" t="s">
        <v>66</v>
      </c>
      <c r="S570" t="s">
        <v>66</v>
      </c>
      <c r="T570">
        <v>0</v>
      </c>
      <c r="U570">
        <v>0</v>
      </c>
      <c r="V570">
        <v>14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14</v>
      </c>
      <c r="AG570">
        <v>0</v>
      </c>
      <c r="AH570">
        <v>5</v>
      </c>
      <c r="AI570">
        <v>2</v>
      </c>
      <c r="AJ570">
        <v>16</v>
      </c>
      <c r="AK570">
        <v>10</v>
      </c>
      <c r="AL570">
        <v>23</v>
      </c>
      <c r="AM570">
        <v>5</v>
      </c>
      <c r="AN570" t="s">
        <v>2397</v>
      </c>
      <c r="AO570" t="s">
        <v>2398</v>
      </c>
      <c r="AP570">
        <v>1.1659999999999999</v>
      </c>
      <c r="AQ570" t="s">
        <v>69</v>
      </c>
      <c r="AR570">
        <v>39</v>
      </c>
      <c r="AS570">
        <v>15</v>
      </c>
      <c r="AT570">
        <v>3.4770000000000002E-2</v>
      </c>
      <c r="AU570">
        <v>-5.0600000000000003E-3</v>
      </c>
      <c r="AV570">
        <v>0.13300999999999999</v>
      </c>
      <c r="AW570">
        <v>-2.0879999999999999E-2</v>
      </c>
      <c r="AX570">
        <v>1.1769999999999999E-2</v>
      </c>
      <c r="AY570">
        <v>-1.91E-3</v>
      </c>
      <c r="AZ570">
        <v>8.8459999999999997E-2</v>
      </c>
      <c r="BA570">
        <v>1</v>
      </c>
      <c r="BB570" t="s">
        <v>70</v>
      </c>
      <c r="BC570">
        <v>0.65400000000000003</v>
      </c>
      <c r="BD570">
        <v>0.222</v>
      </c>
      <c r="BE570" t="s">
        <v>71</v>
      </c>
    </row>
    <row r="571" spans="1:57">
      <c r="A571">
        <v>2456</v>
      </c>
      <c r="B571" t="s">
        <v>2399</v>
      </c>
      <c r="D571" t="s">
        <v>66</v>
      </c>
      <c r="E571" t="s">
        <v>2400</v>
      </c>
      <c r="F571" t="s">
        <v>2401</v>
      </c>
      <c r="G571">
        <v>330</v>
      </c>
      <c r="H571" t="s">
        <v>106</v>
      </c>
      <c r="I571">
        <v>4</v>
      </c>
      <c r="J571" t="str">
        <f>HYPERLINK("Gene2456-zp_tree_all.dnd", "Gene2456-tree")</f>
        <v>Gene2456-tree</v>
      </c>
      <c r="K571">
        <v>2</v>
      </c>
      <c r="L571">
        <v>2</v>
      </c>
      <c r="M571">
        <v>2</v>
      </c>
      <c r="N571">
        <v>2</v>
      </c>
      <c r="O571">
        <v>0.5</v>
      </c>
      <c r="P571" t="s">
        <v>124</v>
      </c>
      <c r="Q571" t="s">
        <v>124</v>
      </c>
      <c r="R571" t="s">
        <v>66</v>
      </c>
      <c r="S571" t="s">
        <v>66</v>
      </c>
      <c r="T571">
        <v>0</v>
      </c>
      <c r="U571">
        <v>0</v>
      </c>
      <c r="V571">
        <v>4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4</v>
      </c>
      <c r="AG571">
        <v>0</v>
      </c>
      <c r="AH571">
        <v>4</v>
      </c>
      <c r="AI571">
        <v>1</v>
      </c>
      <c r="AJ571">
        <v>52</v>
      </c>
      <c r="AK571">
        <v>5</v>
      </c>
      <c r="AL571">
        <v>1</v>
      </c>
      <c r="AM571">
        <v>0</v>
      </c>
      <c r="AN571" t="s">
        <v>2402</v>
      </c>
      <c r="AO571" t="s">
        <v>68</v>
      </c>
      <c r="AP571">
        <v>0.59099999999999997</v>
      </c>
      <c r="AQ571" t="s">
        <v>69</v>
      </c>
      <c r="AR571">
        <v>53</v>
      </c>
      <c r="AS571">
        <v>5</v>
      </c>
      <c r="AT571">
        <v>2.845E-2</v>
      </c>
      <c r="AU571">
        <v>-8.6E-3</v>
      </c>
      <c r="AV571">
        <v>0.12570000000000001</v>
      </c>
      <c r="AW571">
        <v>-3.9410000000000001E-2</v>
      </c>
      <c r="AX571">
        <v>3.31E-3</v>
      </c>
      <c r="AY571">
        <v>-1.0200000000000001E-3</v>
      </c>
      <c r="AZ571">
        <v>2.6339999999999999E-2</v>
      </c>
      <c r="BA571">
        <v>1</v>
      </c>
      <c r="BB571" t="s">
        <v>70</v>
      </c>
      <c r="BC571">
        <v>-0.45500000000000002</v>
      </c>
      <c r="BD571">
        <v>-0.80900000000000005</v>
      </c>
      <c r="BE571" t="s">
        <v>71</v>
      </c>
    </row>
    <row r="572" spans="1:57">
      <c r="A572">
        <v>2471</v>
      </c>
      <c r="B572" t="s">
        <v>2403</v>
      </c>
      <c r="D572" t="s">
        <v>66</v>
      </c>
      <c r="E572" t="s">
        <v>2404</v>
      </c>
      <c r="F572" t="s">
        <v>818</v>
      </c>
      <c r="G572">
        <v>97</v>
      </c>
      <c r="H572" t="s">
        <v>106</v>
      </c>
      <c r="I572">
        <v>4</v>
      </c>
      <c r="J572" t="str">
        <f>HYPERLINK("Gene2471-zp_tree_all.dnd", "Gene2471-tree")</f>
        <v>Gene2471-tree</v>
      </c>
      <c r="K572">
        <v>2</v>
      </c>
      <c r="L572">
        <v>2</v>
      </c>
      <c r="M572">
        <v>2</v>
      </c>
      <c r="N572">
        <v>2</v>
      </c>
      <c r="O572">
        <v>0.5</v>
      </c>
      <c r="P572" t="s">
        <v>124</v>
      </c>
      <c r="Q572" t="s">
        <v>124</v>
      </c>
      <c r="R572" t="s">
        <v>66</v>
      </c>
      <c r="S572" t="s">
        <v>66</v>
      </c>
      <c r="T572">
        <v>0</v>
      </c>
      <c r="U572">
        <v>0</v>
      </c>
      <c r="V572">
        <v>7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7</v>
      </c>
      <c r="AG572">
        <v>0</v>
      </c>
      <c r="AH572">
        <v>3</v>
      </c>
      <c r="AI572">
        <v>0</v>
      </c>
      <c r="AJ572">
        <v>10</v>
      </c>
      <c r="AK572">
        <v>7</v>
      </c>
      <c r="AL572">
        <v>0</v>
      </c>
      <c r="AM572">
        <v>0</v>
      </c>
      <c r="AN572" t="s">
        <v>2405</v>
      </c>
      <c r="AO572" t="s">
        <v>68</v>
      </c>
      <c r="AP572">
        <v>0.89700000000000002</v>
      </c>
      <c r="AQ572" t="s">
        <v>69</v>
      </c>
      <c r="AR572">
        <v>10</v>
      </c>
      <c r="AS572">
        <v>7</v>
      </c>
      <c r="AT572">
        <v>2.8639999999999999E-2</v>
      </c>
      <c r="AU572">
        <v>-8.09E-3</v>
      </c>
      <c r="AV572">
        <v>7.6270000000000004E-2</v>
      </c>
      <c r="AW572">
        <v>-1.932E-2</v>
      </c>
      <c r="AX572">
        <v>1.5970000000000002E-2</v>
      </c>
      <c r="AY572">
        <v>-5.3699999999999998E-3</v>
      </c>
      <c r="AZ572">
        <v>0.20941000000000001</v>
      </c>
      <c r="BA572">
        <v>0.99</v>
      </c>
      <c r="BB572" t="s">
        <v>70</v>
      </c>
      <c r="BC572">
        <v>-0.46</v>
      </c>
      <c r="BD572">
        <v>-1.044</v>
      </c>
      <c r="BE572" t="s">
        <v>71</v>
      </c>
    </row>
    <row r="573" spans="1:57">
      <c r="A573">
        <v>2473</v>
      </c>
      <c r="B573" t="s">
        <v>2406</v>
      </c>
      <c r="D573" t="s">
        <v>66</v>
      </c>
      <c r="E573" t="s">
        <v>2407</v>
      </c>
      <c r="F573" t="s">
        <v>2408</v>
      </c>
      <c r="G573">
        <v>267</v>
      </c>
      <c r="H573" t="s">
        <v>63</v>
      </c>
      <c r="I573">
        <v>5</v>
      </c>
      <c r="J573" t="str">
        <f>HYPERLINK("Gene2473-zp_tree_all.dnd", "Gene2473-tree")</f>
        <v>Gene2473-tree</v>
      </c>
      <c r="K573">
        <v>5</v>
      </c>
      <c r="L573">
        <v>0</v>
      </c>
      <c r="M573">
        <v>5</v>
      </c>
      <c r="N573">
        <v>0</v>
      </c>
      <c r="O573">
        <v>0</v>
      </c>
      <c r="P573" t="s">
        <v>96</v>
      </c>
      <c r="Q573" t="s">
        <v>66</v>
      </c>
      <c r="R573" t="s">
        <v>66</v>
      </c>
      <c r="S573" t="s">
        <v>66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2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5</v>
      </c>
      <c r="AI573">
        <v>2</v>
      </c>
      <c r="AJ573">
        <v>30</v>
      </c>
      <c r="AK573">
        <v>0</v>
      </c>
      <c r="AL573">
        <v>19</v>
      </c>
      <c r="AM573">
        <v>2</v>
      </c>
      <c r="AN573" t="s">
        <v>68</v>
      </c>
      <c r="AO573" t="s">
        <v>2409</v>
      </c>
      <c r="AP573">
        <v>1.143</v>
      </c>
      <c r="AQ573" t="s">
        <v>69</v>
      </c>
      <c r="AR573">
        <v>49</v>
      </c>
      <c r="AS573">
        <v>2</v>
      </c>
      <c r="AT573">
        <v>2.8590000000000001E-2</v>
      </c>
      <c r="AU573">
        <v>-3.65E-3</v>
      </c>
      <c r="AV573">
        <v>0.13375000000000001</v>
      </c>
      <c r="AW573">
        <v>-1.8509999999999999E-2</v>
      </c>
      <c r="AX573">
        <v>1.9400000000000001E-3</v>
      </c>
      <c r="AY573">
        <v>-3.6999999999999999E-4</v>
      </c>
      <c r="AZ573">
        <v>1.448E-2</v>
      </c>
      <c r="BA573">
        <v>1</v>
      </c>
      <c r="BB573" t="s">
        <v>70</v>
      </c>
      <c r="BC573">
        <v>0.45300000000000001</v>
      </c>
      <c r="BD573">
        <v>0</v>
      </c>
      <c r="BE573" t="s">
        <v>71</v>
      </c>
    </row>
    <row r="574" spans="1:57">
      <c r="A574">
        <v>2477</v>
      </c>
      <c r="B574" t="s">
        <v>2410</v>
      </c>
      <c r="D574" t="s">
        <v>66</v>
      </c>
      <c r="E574" t="s">
        <v>2411</v>
      </c>
      <c r="F574" t="s">
        <v>2412</v>
      </c>
      <c r="G574">
        <v>281</v>
      </c>
      <c r="H574" t="s">
        <v>85</v>
      </c>
      <c r="I574">
        <v>4</v>
      </c>
      <c r="J574" t="str">
        <f>HYPERLINK("Gene2477-zp_tree_all.dnd", "Gene2477-tree")</f>
        <v>Gene2477-tree</v>
      </c>
      <c r="K574">
        <v>2</v>
      </c>
      <c r="L574">
        <v>2</v>
      </c>
      <c r="M574">
        <v>2</v>
      </c>
      <c r="N574">
        <v>2</v>
      </c>
      <c r="O574">
        <v>0.5</v>
      </c>
      <c r="P574" t="s">
        <v>124</v>
      </c>
      <c r="Q574" t="s">
        <v>124</v>
      </c>
      <c r="R574" t="s">
        <v>66</v>
      </c>
      <c r="S574" t="s">
        <v>66</v>
      </c>
      <c r="T574">
        <v>0</v>
      </c>
      <c r="U574">
        <v>0</v>
      </c>
      <c r="V574">
        <v>6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6</v>
      </c>
      <c r="AG574">
        <v>0</v>
      </c>
      <c r="AH574">
        <v>4</v>
      </c>
      <c r="AI574">
        <v>1</v>
      </c>
      <c r="AJ574">
        <v>32</v>
      </c>
      <c r="AK574">
        <v>6</v>
      </c>
      <c r="AL574">
        <v>2</v>
      </c>
      <c r="AM574">
        <v>0</v>
      </c>
      <c r="AN574" t="s">
        <v>2413</v>
      </c>
      <c r="AO574" t="s">
        <v>68</v>
      </c>
      <c r="AP574">
        <v>0.66900000000000004</v>
      </c>
      <c r="AQ574" t="s">
        <v>69</v>
      </c>
      <c r="AR574">
        <v>34</v>
      </c>
      <c r="AS574">
        <v>6</v>
      </c>
      <c r="AT574">
        <v>2.3130000000000001E-2</v>
      </c>
      <c r="AU574">
        <v>-5.5999999999999999E-3</v>
      </c>
      <c r="AV574">
        <v>9.1490000000000002E-2</v>
      </c>
      <c r="AW574">
        <v>-2.189E-2</v>
      </c>
      <c r="AX574">
        <v>4.6600000000000001E-3</v>
      </c>
      <c r="AY574">
        <v>-1.5100000000000001E-3</v>
      </c>
      <c r="AZ574">
        <v>5.0889999999999998E-2</v>
      </c>
      <c r="BA574">
        <v>1</v>
      </c>
      <c r="BB574" t="s">
        <v>70</v>
      </c>
      <c r="BC574">
        <v>-0.35</v>
      </c>
      <c r="BD574">
        <v>-0.60699999999999998</v>
      </c>
      <c r="BE574" t="s">
        <v>71</v>
      </c>
    </row>
    <row r="575" spans="1:57">
      <c r="A575">
        <v>2480</v>
      </c>
      <c r="B575" t="s">
        <v>2418</v>
      </c>
      <c r="D575" t="s">
        <v>66</v>
      </c>
      <c r="E575" t="s">
        <v>2419</v>
      </c>
      <c r="F575" t="s">
        <v>2420</v>
      </c>
      <c r="G575">
        <v>84</v>
      </c>
      <c r="H575" t="s">
        <v>63</v>
      </c>
      <c r="I575">
        <v>5</v>
      </c>
      <c r="J575" t="str">
        <f>HYPERLINK("Gene2480-zp_tree_all.dnd", "Gene2480-tree")</f>
        <v>Gene2480-tree</v>
      </c>
      <c r="K575">
        <v>3</v>
      </c>
      <c r="L575">
        <v>2</v>
      </c>
      <c r="M575">
        <v>2</v>
      </c>
      <c r="N575">
        <v>2</v>
      </c>
      <c r="O575">
        <v>0.5</v>
      </c>
      <c r="P575" t="s">
        <v>185</v>
      </c>
      <c r="Q575" t="s">
        <v>124</v>
      </c>
      <c r="R575" t="s">
        <v>66</v>
      </c>
      <c r="S575" t="s">
        <v>66</v>
      </c>
      <c r="T575">
        <v>0</v>
      </c>
      <c r="U575">
        <v>0</v>
      </c>
      <c r="V575">
        <v>2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2</v>
      </c>
      <c r="AG575">
        <v>0</v>
      </c>
      <c r="AH575">
        <v>3</v>
      </c>
      <c r="AI575">
        <v>1</v>
      </c>
      <c r="AJ575">
        <v>6</v>
      </c>
      <c r="AK575">
        <v>3</v>
      </c>
      <c r="AL575">
        <v>7</v>
      </c>
      <c r="AM575">
        <v>0</v>
      </c>
      <c r="AN575" t="s">
        <v>2421</v>
      </c>
      <c r="AO575" t="s">
        <v>68</v>
      </c>
      <c r="AP575">
        <v>1.284</v>
      </c>
      <c r="AQ575" t="s">
        <v>69</v>
      </c>
      <c r="AR575">
        <v>13</v>
      </c>
      <c r="AS575">
        <v>3</v>
      </c>
      <c r="AT575">
        <v>3.3730000000000003E-2</v>
      </c>
      <c r="AU575">
        <v>-5.8199999999999997E-3</v>
      </c>
      <c r="AV575">
        <v>0.17655999999999999</v>
      </c>
      <c r="AW575">
        <v>-2.6880000000000001E-2</v>
      </c>
      <c r="AX575">
        <v>7.3299999999999997E-3</v>
      </c>
      <c r="AY575">
        <v>-1.92E-3</v>
      </c>
      <c r="AZ575">
        <v>4.1520000000000001E-2</v>
      </c>
      <c r="BA575">
        <v>1</v>
      </c>
      <c r="BB575" t="s">
        <v>70</v>
      </c>
      <c r="BC575">
        <v>0.52100000000000002</v>
      </c>
      <c r="BD575">
        <v>-0.56399999999999995</v>
      </c>
      <c r="BE575" t="s">
        <v>71</v>
      </c>
    </row>
    <row r="576" spans="1:57">
      <c r="A576">
        <v>2482</v>
      </c>
      <c r="B576" t="s">
        <v>2422</v>
      </c>
      <c r="D576" t="s">
        <v>66</v>
      </c>
      <c r="E576" t="s">
        <v>2423</v>
      </c>
      <c r="F576" t="s">
        <v>2424</v>
      </c>
      <c r="G576">
        <v>283</v>
      </c>
      <c r="H576" t="s">
        <v>63</v>
      </c>
      <c r="I576">
        <v>5</v>
      </c>
      <c r="J576" t="str">
        <f>HYPERLINK("Gene2482-zp_tree_all.dnd", "Gene2482-tree")</f>
        <v>Gene2482-tree</v>
      </c>
      <c r="K576">
        <v>4</v>
      </c>
      <c r="L576">
        <v>1</v>
      </c>
      <c r="M576">
        <v>4</v>
      </c>
      <c r="N576">
        <v>1</v>
      </c>
      <c r="O576">
        <v>0.2</v>
      </c>
      <c r="P576" t="s">
        <v>64</v>
      </c>
      <c r="Q576" t="s">
        <v>65</v>
      </c>
      <c r="R576" t="s">
        <v>66</v>
      </c>
      <c r="S576" t="s">
        <v>66</v>
      </c>
      <c r="T576">
        <v>0</v>
      </c>
      <c r="U576">
        <v>0</v>
      </c>
      <c r="V576">
        <v>2</v>
      </c>
      <c r="W576">
        <v>0</v>
      </c>
      <c r="X576">
        <v>0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0</v>
      </c>
      <c r="AH576">
        <v>5</v>
      </c>
      <c r="AI576">
        <v>2</v>
      </c>
      <c r="AJ576">
        <v>14</v>
      </c>
      <c r="AK576">
        <v>1</v>
      </c>
      <c r="AL576">
        <v>17</v>
      </c>
      <c r="AM576">
        <v>1</v>
      </c>
      <c r="AN576" t="s">
        <v>2425</v>
      </c>
      <c r="AO576" t="s">
        <v>2426</v>
      </c>
      <c r="AP576">
        <v>9.4E-2</v>
      </c>
      <c r="AQ576" t="s">
        <v>69</v>
      </c>
      <c r="AR576">
        <v>31</v>
      </c>
      <c r="AS576">
        <v>2</v>
      </c>
      <c r="AT576">
        <v>1.9550000000000001E-2</v>
      </c>
      <c r="AU576">
        <v>-3.3E-3</v>
      </c>
      <c r="AV576">
        <v>8.5089999999999999E-2</v>
      </c>
      <c r="AW576">
        <v>-1.46E-2</v>
      </c>
      <c r="AX576">
        <v>1.5399999999999999E-3</v>
      </c>
      <c r="AY576">
        <v>-3.8000000000000002E-4</v>
      </c>
      <c r="AZ576">
        <v>1.806E-2</v>
      </c>
      <c r="BA576">
        <v>1</v>
      </c>
      <c r="BB576" t="s">
        <v>70</v>
      </c>
      <c r="BC576">
        <v>0.86499999999999999</v>
      </c>
      <c r="BD576">
        <v>0.36199999999999999</v>
      </c>
      <c r="BE576" t="s">
        <v>71</v>
      </c>
    </row>
    <row r="577" spans="1:57">
      <c r="A577">
        <v>2484</v>
      </c>
      <c r="B577" t="s">
        <v>2430</v>
      </c>
      <c r="D577" t="s">
        <v>66</v>
      </c>
      <c r="E577" t="s">
        <v>2431</v>
      </c>
      <c r="F577" t="s">
        <v>74</v>
      </c>
      <c r="G577">
        <v>135</v>
      </c>
      <c r="H577" t="s">
        <v>63</v>
      </c>
      <c r="I577">
        <v>5</v>
      </c>
      <c r="J577" t="str">
        <f>HYPERLINK("Gene2484-zp_tree_all.dnd", "Gene2484-tree")</f>
        <v>Gene2484-tree</v>
      </c>
      <c r="K577">
        <v>4</v>
      </c>
      <c r="L577">
        <v>1</v>
      </c>
      <c r="M577">
        <v>4</v>
      </c>
      <c r="N577">
        <v>1</v>
      </c>
      <c r="O577">
        <v>0.2</v>
      </c>
      <c r="P577" t="s">
        <v>64</v>
      </c>
      <c r="Q577" t="s">
        <v>65</v>
      </c>
      <c r="R577" t="s">
        <v>66</v>
      </c>
      <c r="S577" t="s">
        <v>66</v>
      </c>
      <c r="T577">
        <v>0</v>
      </c>
      <c r="U577">
        <v>0</v>
      </c>
      <c r="V577">
        <v>2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3</v>
      </c>
      <c r="AI577">
        <v>2</v>
      </c>
      <c r="AJ577">
        <v>9</v>
      </c>
      <c r="AK577">
        <v>1</v>
      </c>
      <c r="AL577">
        <v>10</v>
      </c>
      <c r="AM577">
        <v>1</v>
      </c>
      <c r="AN577" t="s">
        <v>2432</v>
      </c>
      <c r="AO577" t="s">
        <v>2433</v>
      </c>
      <c r="AP577">
        <v>7.0999999999999994E-2</v>
      </c>
      <c r="AQ577" t="s">
        <v>69</v>
      </c>
      <c r="AR577">
        <v>19</v>
      </c>
      <c r="AS577">
        <v>2</v>
      </c>
      <c r="AT577">
        <v>2.5190000000000001E-2</v>
      </c>
      <c r="AU577">
        <v>-4.7099999999999998E-3</v>
      </c>
      <c r="AV577">
        <v>0.11385000000000001</v>
      </c>
      <c r="AW577">
        <v>-2.2689999999999998E-2</v>
      </c>
      <c r="AX577">
        <v>3.1800000000000001E-3</v>
      </c>
      <c r="AY577">
        <v>-7.7999999999999999E-4</v>
      </c>
      <c r="AZ577">
        <v>2.794E-2</v>
      </c>
      <c r="BA577">
        <v>1</v>
      </c>
      <c r="BB577" t="s">
        <v>70</v>
      </c>
      <c r="BC577">
        <v>0.874</v>
      </c>
      <c r="BD577">
        <v>0.55000000000000004</v>
      </c>
      <c r="BE577" t="s">
        <v>71</v>
      </c>
    </row>
    <row r="578" spans="1:57">
      <c r="A578">
        <v>2485</v>
      </c>
      <c r="B578" t="s">
        <v>2434</v>
      </c>
      <c r="D578" t="s">
        <v>66</v>
      </c>
      <c r="E578" t="s">
        <v>2435</v>
      </c>
      <c r="F578" t="s">
        <v>2436</v>
      </c>
      <c r="G578">
        <v>450</v>
      </c>
      <c r="H578" t="s">
        <v>63</v>
      </c>
      <c r="I578">
        <v>5</v>
      </c>
      <c r="J578" t="str">
        <f>HYPERLINK("Gene2485-zp_tree_all.dnd", "Gene2485-tree")</f>
        <v>Gene2485-tree</v>
      </c>
      <c r="K578">
        <v>2</v>
      </c>
      <c r="L578">
        <v>3</v>
      </c>
      <c r="M578">
        <v>2</v>
      </c>
      <c r="N578">
        <v>3</v>
      </c>
      <c r="O578">
        <v>0.6</v>
      </c>
      <c r="P578" t="s">
        <v>124</v>
      </c>
      <c r="Q578" t="s">
        <v>86</v>
      </c>
      <c r="R578" t="s">
        <v>66</v>
      </c>
      <c r="S578" t="s">
        <v>66</v>
      </c>
      <c r="T578">
        <v>0</v>
      </c>
      <c r="U578">
        <v>0</v>
      </c>
      <c r="V578">
        <v>5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5</v>
      </c>
      <c r="AG578">
        <v>0</v>
      </c>
      <c r="AH578">
        <v>5</v>
      </c>
      <c r="AI578">
        <v>2</v>
      </c>
      <c r="AJ578">
        <v>34</v>
      </c>
      <c r="AK578">
        <v>3</v>
      </c>
      <c r="AL578">
        <v>43</v>
      </c>
      <c r="AM578">
        <v>2</v>
      </c>
      <c r="AN578" t="s">
        <v>2437</v>
      </c>
      <c r="AO578" t="s">
        <v>2438</v>
      </c>
      <c r="AP578">
        <v>0.77800000000000002</v>
      </c>
      <c r="AQ578" t="s">
        <v>69</v>
      </c>
      <c r="AR578">
        <v>77</v>
      </c>
      <c r="AS578">
        <v>5</v>
      </c>
      <c r="AT578">
        <v>0.03</v>
      </c>
      <c r="AU578">
        <v>-4.4999999999999997E-3</v>
      </c>
      <c r="AV578">
        <v>0.13575999999999999</v>
      </c>
      <c r="AW578">
        <v>-2.128E-2</v>
      </c>
      <c r="AX578">
        <v>2.32E-3</v>
      </c>
      <c r="AY578">
        <v>-3.8999999999999999E-4</v>
      </c>
      <c r="AZ578">
        <v>1.7090000000000001E-2</v>
      </c>
      <c r="BA578">
        <v>1</v>
      </c>
      <c r="BB578" t="s">
        <v>70</v>
      </c>
      <c r="BC578">
        <v>0.62</v>
      </c>
      <c r="BD578">
        <v>0.35699999999999998</v>
      </c>
      <c r="BE578" t="s">
        <v>71</v>
      </c>
    </row>
    <row r="579" spans="1:57">
      <c r="A579">
        <v>2487</v>
      </c>
      <c r="B579" t="s">
        <v>2439</v>
      </c>
      <c r="D579" t="s">
        <v>66</v>
      </c>
      <c r="E579" t="s">
        <v>2440</v>
      </c>
      <c r="F579" t="s">
        <v>2441</v>
      </c>
      <c r="G579">
        <v>218</v>
      </c>
      <c r="H579" t="s">
        <v>85</v>
      </c>
      <c r="I579">
        <v>4</v>
      </c>
      <c r="J579" t="str">
        <f>HYPERLINK("Gene2487-zp_tree_all.dnd", "Gene2487-tree")</f>
        <v>Gene2487-tree</v>
      </c>
      <c r="K579">
        <v>2</v>
      </c>
      <c r="L579">
        <v>2</v>
      </c>
      <c r="M579">
        <v>2</v>
      </c>
      <c r="N579">
        <v>2</v>
      </c>
      <c r="O579">
        <v>0.5</v>
      </c>
      <c r="P579" t="s">
        <v>124</v>
      </c>
      <c r="Q579" t="s">
        <v>124</v>
      </c>
      <c r="R579" t="s">
        <v>66</v>
      </c>
      <c r="S579" t="s">
        <v>66</v>
      </c>
      <c r="T579">
        <v>0</v>
      </c>
      <c r="U579">
        <v>0</v>
      </c>
      <c r="V579">
        <v>6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6</v>
      </c>
      <c r="AG579">
        <v>0</v>
      </c>
      <c r="AH579">
        <v>3</v>
      </c>
      <c r="AI579">
        <v>1</v>
      </c>
      <c r="AJ579">
        <v>27</v>
      </c>
      <c r="AK579">
        <v>6</v>
      </c>
      <c r="AL579">
        <v>2</v>
      </c>
      <c r="AM579">
        <v>0</v>
      </c>
      <c r="AN579" t="s">
        <v>2442</v>
      </c>
      <c r="AO579" t="s">
        <v>68</v>
      </c>
      <c r="AP579">
        <v>0.69899999999999995</v>
      </c>
      <c r="AQ579" t="s">
        <v>69</v>
      </c>
      <c r="AR579">
        <v>29</v>
      </c>
      <c r="AS579">
        <v>6</v>
      </c>
      <c r="AT579">
        <v>2.7650000000000001E-2</v>
      </c>
      <c r="AU579">
        <v>-9.2099999999999994E-3</v>
      </c>
      <c r="AV579">
        <v>0.12186</v>
      </c>
      <c r="AW579">
        <v>-4.3950000000000003E-2</v>
      </c>
      <c r="AX579">
        <v>5.9699999999999996E-3</v>
      </c>
      <c r="AY579">
        <v>-1.56E-3</v>
      </c>
      <c r="AZ579">
        <v>4.9029999999999997E-2</v>
      </c>
      <c r="BA579">
        <v>1</v>
      </c>
      <c r="BB579" t="s">
        <v>70</v>
      </c>
      <c r="BC579">
        <v>-0.68300000000000005</v>
      </c>
      <c r="BD579">
        <v>-0.68300000000000005</v>
      </c>
      <c r="BE579" t="s">
        <v>71</v>
      </c>
    </row>
    <row r="580" spans="1:57">
      <c r="A580">
        <v>2488</v>
      </c>
      <c r="B580" t="s">
        <v>2443</v>
      </c>
      <c r="D580" t="s">
        <v>66</v>
      </c>
      <c r="E580" t="s">
        <v>2444</v>
      </c>
      <c r="F580" t="s">
        <v>2445</v>
      </c>
      <c r="G580">
        <v>229</v>
      </c>
      <c r="H580" t="s">
        <v>63</v>
      </c>
      <c r="I580">
        <v>5</v>
      </c>
      <c r="J580" t="str">
        <f>HYPERLINK("Gene2488-zp_tree_all.dnd", "Gene2488-tree")</f>
        <v>Gene2488-tree</v>
      </c>
      <c r="K580">
        <v>2</v>
      </c>
      <c r="L580">
        <v>3</v>
      </c>
      <c r="M580">
        <v>2</v>
      </c>
      <c r="N580">
        <v>3</v>
      </c>
      <c r="O580">
        <v>0.6</v>
      </c>
      <c r="P580" t="s">
        <v>124</v>
      </c>
      <c r="Q580" t="s">
        <v>86</v>
      </c>
      <c r="R580" t="s">
        <v>66</v>
      </c>
      <c r="S580" t="s">
        <v>66</v>
      </c>
      <c r="T580">
        <v>0</v>
      </c>
      <c r="U580">
        <v>0</v>
      </c>
      <c r="V580">
        <v>8</v>
      </c>
      <c r="W580">
        <v>0</v>
      </c>
      <c r="X580">
        <v>0</v>
      </c>
      <c r="Y580">
        <v>0</v>
      </c>
      <c r="Z580">
        <v>0</v>
      </c>
      <c r="AA580">
        <v>4</v>
      </c>
      <c r="AB580">
        <v>0</v>
      </c>
      <c r="AC580">
        <v>0</v>
      </c>
      <c r="AD580">
        <v>0</v>
      </c>
      <c r="AE580">
        <v>0</v>
      </c>
      <c r="AF580">
        <v>4</v>
      </c>
      <c r="AG580">
        <v>0</v>
      </c>
      <c r="AH580">
        <v>4</v>
      </c>
      <c r="AI580">
        <v>2</v>
      </c>
      <c r="AJ580">
        <v>10</v>
      </c>
      <c r="AK580">
        <v>4</v>
      </c>
      <c r="AL580">
        <v>19</v>
      </c>
      <c r="AM580">
        <v>5</v>
      </c>
      <c r="AN580" t="s">
        <v>2446</v>
      </c>
      <c r="AO580" t="s">
        <v>2447</v>
      </c>
      <c r="AP580">
        <v>0.44</v>
      </c>
      <c r="AQ580" t="s">
        <v>69</v>
      </c>
      <c r="AR580">
        <v>29</v>
      </c>
      <c r="AS580">
        <v>9</v>
      </c>
      <c r="AT580">
        <v>2.809E-2</v>
      </c>
      <c r="AU580">
        <v>-5.1599999999999997E-3</v>
      </c>
      <c r="AV580">
        <v>0.10492</v>
      </c>
      <c r="AW580">
        <v>-2.0629999999999999E-2</v>
      </c>
      <c r="AX580">
        <v>8.6999999999999994E-3</v>
      </c>
      <c r="AY580">
        <v>-1.5E-3</v>
      </c>
      <c r="AZ580">
        <v>8.2890000000000005E-2</v>
      </c>
      <c r="BA580">
        <v>1</v>
      </c>
      <c r="BB580" t="s">
        <v>70</v>
      </c>
      <c r="BC580">
        <v>0.877</v>
      </c>
      <c r="BD580">
        <v>0.66</v>
      </c>
      <c r="BE580" t="s">
        <v>71</v>
      </c>
    </row>
    <row r="581" spans="1:57">
      <c r="A581">
        <v>2489</v>
      </c>
      <c r="B581" t="s">
        <v>2448</v>
      </c>
      <c r="D581" t="s">
        <v>66</v>
      </c>
      <c r="E581" t="s">
        <v>2449</v>
      </c>
      <c r="F581" t="s">
        <v>2450</v>
      </c>
      <c r="G581">
        <v>206</v>
      </c>
      <c r="H581" t="s">
        <v>63</v>
      </c>
      <c r="I581">
        <v>5</v>
      </c>
      <c r="J581" t="str">
        <f>HYPERLINK("Gene2489-zp_tree_all.dnd", "Gene2489-tree")</f>
        <v>Gene2489-tree</v>
      </c>
      <c r="K581">
        <v>1</v>
      </c>
      <c r="L581">
        <v>4</v>
      </c>
      <c r="M581">
        <v>1</v>
      </c>
      <c r="N581">
        <v>4</v>
      </c>
      <c r="O581">
        <v>0.8</v>
      </c>
      <c r="P581" t="s">
        <v>65</v>
      </c>
      <c r="Q581" t="s">
        <v>64</v>
      </c>
      <c r="R581" t="s">
        <v>66</v>
      </c>
      <c r="S581" t="s">
        <v>66</v>
      </c>
      <c r="T581">
        <v>2</v>
      </c>
      <c r="U581">
        <v>4</v>
      </c>
      <c r="V581">
        <v>7</v>
      </c>
      <c r="W581">
        <v>0.36364000000000002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4</v>
      </c>
      <c r="AE581">
        <v>4</v>
      </c>
      <c r="AF581">
        <v>7</v>
      </c>
      <c r="AG581">
        <v>0.36364000000000002</v>
      </c>
      <c r="AH581">
        <v>5</v>
      </c>
      <c r="AI581">
        <v>1</v>
      </c>
      <c r="AJ581">
        <v>12</v>
      </c>
      <c r="AK581">
        <v>7</v>
      </c>
      <c r="AL581">
        <v>10</v>
      </c>
      <c r="AM581">
        <v>4</v>
      </c>
      <c r="AN581" t="s">
        <v>2451</v>
      </c>
      <c r="AO581" t="s">
        <v>2452</v>
      </c>
      <c r="AP581">
        <v>0.436</v>
      </c>
      <c r="AQ581" t="s">
        <v>69</v>
      </c>
      <c r="AR581">
        <v>22</v>
      </c>
      <c r="AS581">
        <v>11</v>
      </c>
      <c r="AT581">
        <v>2.589E-2</v>
      </c>
      <c r="AU581">
        <v>-4.6299999999999996E-3</v>
      </c>
      <c r="AV581">
        <v>8.7929999999999994E-2</v>
      </c>
      <c r="AW581">
        <v>-1.7670000000000002E-2</v>
      </c>
      <c r="AX581">
        <v>1.082E-2</v>
      </c>
      <c r="AY581">
        <v>-1.67E-3</v>
      </c>
      <c r="AZ581">
        <v>0.12307999999999999</v>
      </c>
      <c r="BA581">
        <v>1</v>
      </c>
      <c r="BB581" t="s">
        <v>70</v>
      </c>
      <c r="BC581">
        <v>7.5999999999999998E-2</v>
      </c>
      <c r="BD581">
        <v>7.5999999999999998E-2</v>
      </c>
      <c r="BE581" t="s">
        <v>71</v>
      </c>
    </row>
    <row r="582" spans="1:57">
      <c r="A582">
        <v>2491</v>
      </c>
      <c r="B582" t="s">
        <v>2453</v>
      </c>
      <c r="D582" t="s">
        <v>66</v>
      </c>
      <c r="E582" t="s">
        <v>2454</v>
      </c>
      <c r="F582" t="s">
        <v>2455</v>
      </c>
      <c r="G582">
        <v>133</v>
      </c>
      <c r="H582" t="s">
        <v>63</v>
      </c>
      <c r="I582">
        <v>5</v>
      </c>
      <c r="J582" t="str">
        <f>HYPERLINK("Gene2491-zp_tree_all.dnd", "Gene2491-tree")</f>
        <v>Gene2491-tree</v>
      </c>
      <c r="K582">
        <v>5</v>
      </c>
      <c r="L582">
        <v>0</v>
      </c>
      <c r="M582">
        <v>4</v>
      </c>
      <c r="N582">
        <v>0</v>
      </c>
      <c r="O582">
        <v>0</v>
      </c>
      <c r="P582" t="s">
        <v>135</v>
      </c>
      <c r="Q582" t="s">
        <v>66</v>
      </c>
      <c r="R582" t="s">
        <v>66</v>
      </c>
      <c r="S582" t="s">
        <v>66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4</v>
      </c>
      <c r="AI582">
        <v>1</v>
      </c>
      <c r="AJ582">
        <v>11</v>
      </c>
      <c r="AK582">
        <v>0</v>
      </c>
      <c r="AL582">
        <v>7</v>
      </c>
      <c r="AM582">
        <v>0</v>
      </c>
      <c r="AN582" t="s">
        <v>68</v>
      </c>
      <c r="AO582" t="s">
        <v>68</v>
      </c>
      <c r="AP582">
        <v>0</v>
      </c>
      <c r="AQ582" t="s">
        <v>69</v>
      </c>
      <c r="AR582">
        <v>18</v>
      </c>
      <c r="AS582">
        <v>0</v>
      </c>
      <c r="AT582">
        <v>2.4639999999999999E-2</v>
      </c>
      <c r="AU582">
        <v>-3.5200000000000001E-3</v>
      </c>
      <c r="AV582">
        <v>0.11219</v>
      </c>
      <c r="AW582">
        <v>-1.66E-2</v>
      </c>
      <c r="AX582">
        <v>0</v>
      </c>
      <c r="AY582">
        <v>0</v>
      </c>
      <c r="AZ582">
        <v>0</v>
      </c>
      <c r="BA582">
        <v>1</v>
      </c>
      <c r="BB582" t="s">
        <v>70</v>
      </c>
      <c r="BC582">
        <v>0.39600000000000002</v>
      </c>
      <c r="BD582">
        <v>0.39600000000000002</v>
      </c>
      <c r="BE582" t="s">
        <v>71</v>
      </c>
    </row>
    <row r="583" spans="1:57">
      <c r="A583">
        <v>2493</v>
      </c>
      <c r="B583" t="s">
        <v>2459</v>
      </c>
      <c r="D583" t="s">
        <v>66</v>
      </c>
      <c r="E583" t="s">
        <v>2460</v>
      </c>
      <c r="F583" t="s">
        <v>2461</v>
      </c>
      <c r="G583">
        <v>171</v>
      </c>
      <c r="H583" t="s">
        <v>106</v>
      </c>
      <c r="I583">
        <v>4</v>
      </c>
      <c r="J583" t="str">
        <f>HYPERLINK("Gene2493-zp_tree_all.dnd", "Gene2493-tree")</f>
        <v>Gene2493-tree</v>
      </c>
      <c r="K583">
        <v>1</v>
      </c>
      <c r="L583">
        <v>3</v>
      </c>
      <c r="M583">
        <v>1</v>
      </c>
      <c r="N583">
        <v>3</v>
      </c>
      <c r="O583">
        <v>0.75</v>
      </c>
      <c r="P583" t="s">
        <v>65</v>
      </c>
      <c r="Q583" t="s">
        <v>86</v>
      </c>
      <c r="R583" t="s">
        <v>66</v>
      </c>
      <c r="S583" t="s">
        <v>66</v>
      </c>
      <c r="T583">
        <v>0</v>
      </c>
      <c r="U583">
        <v>0</v>
      </c>
      <c r="V583">
        <v>6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6</v>
      </c>
      <c r="AG583">
        <v>0</v>
      </c>
      <c r="AH583">
        <v>3</v>
      </c>
      <c r="AI583">
        <v>1</v>
      </c>
      <c r="AJ583">
        <v>17</v>
      </c>
      <c r="AK583">
        <v>7</v>
      </c>
      <c r="AL583">
        <v>1</v>
      </c>
      <c r="AM583">
        <v>0</v>
      </c>
      <c r="AN583" t="s">
        <v>2462</v>
      </c>
      <c r="AO583" t="s">
        <v>68</v>
      </c>
      <c r="AP583">
        <v>0.96699999999999997</v>
      </c>
      <c r="AQ583" t="s">
        <v>69</v>
      </c>
      <c r="AR583">
        <v>18</v>
      </c>
      <c r="AS583">
        <v>7</v>
      </c>
      <c r="AT583">
        <v>2.4369999999999999E-2</v>
      </c>
      <c r="AU583">
        <v>-7.0800000000000004E-3</v>
      </c>
      <c r="AV583">
        <v>8.3699999999999997E-2</v>
      </c>
      <c r="AW583">
        <v>-2.6110000000000001E-2</v>
      </c>
      <c r="AX583">
        <v>8.9200000000000008E-3</v>
      </c>
      <c r="AY583">
        <v>-2.31E-3</v>
      </c>
      <c r="AZ583">
        <v>0.10655000000000001</v>
      </c>
      <c r="BA583">
        <v>1</v>
      </c>
      <c r="BB583" t="s">
        <v>70</v>
      </c>
      <c r="BC583">
        <v>-0.46500000000000002</v>
      </c>
      <c r="BD583">
        <v>-0.85799999999999998</v>
      </c>
      <c r="BE583" t="s">
        <v>71</v>
      </c>
    </row>
    <row r="584" spans="1:57">
      <c r="A584">
        <v>2496</v>
      </c>
      <c r="B584" t="s">
        <v>2463</v>
      </c>
      <c r="D584" t="s">
        <v>66</v>
      </c>
      <c r="E584" t="s">
        <v>2464</v>
      </c>
      <c r="F584" t="s">
        <v>2465</v>
      </c>
      <c r="G584">
        <v>185</v>
      </c>
      <c r="H584" t="s">
        <v>63</v>
      </c>
      <c r="I584">
        <v>5</v>
      </c>
      <c r="J584" t="str">
        <f>HYPERLINK("Gene2496-zp_tree_all.dnd", "Gene2496-tree")</f>
        <v>Gene2496-tree</v>
      </c>
      <c r="K584">
        <v>4</v>
      </c>
      <c r="L584">
        <v>1</v>
      </c>
      <c r="M584">
        <v>3</v>
      </c>
      <c r="N584">
        <v>1</v>
      </c>
      <c r="O584">
        <v>0.25</v>
      </c>
      <c r="P584" t="s">
        <v>112</v>
      </c>
      <c r="Q584" t="s">
        <v>65</v>
      </c>
      <c r="R584" t="s">
        <v>66</v>
      </c>
      <c r="S584" t="s">
        <v>66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1</v>
      </c>
      <c r="AG584">
        <v>0</v>
      </c>
      <c r="AH584">
        <v>4</v>
      </c>
      <c r="AI584">
        <v>1</v>
      </c>
      <c r="AJ584">
        <v>18</v>
      </c>
      <c r="AK584">
        <v>1</v>
      </c>
      <c r="AL584">
        <v>12</v>
      </c>
      <c r="AM584">
        <v>0</v>
      </c>
      <c r="AN584" t="s">
        <v>2466</v>
      </c>
      <c r="AO584" t="s">
        <v>68</v>
      </c>
      <c r="AP584">
        <v>0.55800000000000005</v>
      </c>
      <c r="AQ584" t="s">
        <v>69</v>
      </c>
      <c r="AR584">
        <v>30</v>
      </c>
      <c r="AS584">
        <v>1</v>
      </c>
      <c r="AT584">
        <v>3.1530000000000002E-2</v>
      </c>
      <c r="AU584">
        <v>-5.0000000000000001E-3</v>
      </c>
      <c r="AV584">
        <v>0.14388000000000001</v>
      </c>
      <c r="AW584">
        <v>-2.528E-2</v>
      </c>
      <c r="AX584">
        <v>1.1800000000000001E-3</v>
      </c>
      <c r="AY584">
        <v>-3.4000000000000002E-4</v>
      </c>
      <c r="AZ584">
        <v>8.2299999999999995E-3</v>
      </c>
      <c r="BA584">
        <v>1</v>
      </c>
      <c r="BB584" t="s">
        <v>70</v>
      </c>
      <c r="BC584">
        <v>0.06</v>
      </c>
      <c r="BD584">
        <v>0.06</v>
      </c>
      <c r="BE584" t="s">
        <v>71</v>
      </c>
    </row>
    <row r="585" spans="1:57">
      <c r="A585">
        <v>2497</v>
      </c>
      <c r="B585" t="s">
        <v>2467</v>
      </c>
      <c r="D585" t="s">
        <v>66</v>
      </c>
      <c r="E585" t="s">
        <v>2468</v>
      </c>
      <c r="F585" t="s">
        <v>2469</v>
      </c>
      <c r="G585">
        <v>353</v>
      </c>
      <c r="H585" t="s">
        <v>85</v>
      </c>
      <c r="I585">
        <v>4</v>
      </c>
      <c r="J585" t="str">
        <f>HYPERLINK("Gene2497-zp_tree_all.dnd", "Gene2497-tree")</f>
        <v>Gene2497-tree</v>
      </c>
      <c r="K585">
        <v>0</v>
      </c>
      <c r="L585">
        <v>4</v>
      </c>
      <c r="M585">
        <v>0</v>
      </c>
      <c r="N585">
        <v>4</v>
      </c>
      <c r="O585">
        <v>1</v>
      </c>
      <c r="P585" t="s">
        <v>66</v>
      </c>
      <c r="Q585" t="s">
        <v>64</v>
      </c>
      <c r="R585" t="s">
        <v>66</v>
      </c>
      <c r="S585" t="s">
        <v>66</v>
      </c>
      <c r="T585">
        <v>0</v>
      </c>
      <c r="U585">
        <v>0</v>
      </c>
      <c r="V585">
        <v>13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13</v>
      </c>
      <c r="AG585">
        <v>0</v>
      </c>
      <c r="AH585">
        <v>4</v>
      </c>
      <c r="AI585">
        <v>1</v>
      </c>
      <c r="AJ585">
        <v>42</v>
      </c>
      <c r="AK585">
        <v>12</v>
      </c>
      <c r="AL585">
        <v>5</v>
      </c>
      <c r="AM585">
        <v>1</v>
      </c>
      <c r="AN585" t="s">
        <v>2470</v>
      </c>
      <c r="AO585" t="s">
        <v>2471</v>
      </c>
      <c r="AP585">
        <v>0.158</v>
      </c>
      <c r="AQ585" t="s">
        <v>69</v>
      </c>
      <c r="AR585">
        <v>47</v>
      </c>
      <c r="AS585">
        <v>13</v>
      </c>
      <c r="AT585">
        <v>2.912E-2</v>
      </c>
      <c r="AU585">
        <v>-8.1200000000000005E-3</v>
      </c>
      <c r="AV585">
        <v>0.10811</v>
      </c>
      <c r="AW585">
        <v>-3.4410000000000003E-2</v>
      </c>
      <c r="AX585">
        <v>8.3000000000000001E-3</v>
      </c>
      <c r="AY585">
        <v>-1.4599999999999999E-3</v>
      </c>
      <c r="AZ585">
        <v>7.6749999999999999E-2</v>
      </c>
      <c r="BA585">
        <v>1</v>
      </c>
      <c r="BB585" t="s">
        <v>70</v>
      </c>
      <c r="BC585">
        <v>-0.437</v>
      </c>
      <c r="BD585">
        <v>-0.59899999999999998</v>
      </c>
      <c r="BE585" t="s">
        <v>71</v>
      </c>
    </row>
    <row r="586" spans="1:57">
      <c r="A586">
        <v>2498</v>
      </c>
      <c r="B586" t="s">
        <v>2472</v>
      </c>
      <c r="D586" t="s">
        <v>66</v>
      </c>
      <c r="E586" t="s">
        <v>2473</v>
      </c>
      <c r="F586" t="s">
        <v>2474</v>
      </c>
      <c r="G586">
        <v>148</v>
      </c>
      <c r="H586" t="s">
        <v>63</v>
      </c>
      <c r="I586">
        <v>5</v>
      </c>
      <c r="J586" t="str">
        <f>HYPERLINK("Gene2498-zp_tree_all.dnd", "Gene2498-tree")</f>
        <v>Gene2498-tree</v>
      </c>
      <c r="K586">
        <v>0</v>
      </c>
      <c r="L586">
        <v>5</v>
      </c>
      <c r="M586">
        <v>0</v>
      </c>
      <c r="N586">
        <v>5</v>
      </c>
      <c r="O586">
        <v>1</v>
      </c>
      <c r="P586" t="s">
        <v>66</v>
      </c>
      <c r="Q586" t="s">
        <v>96</v>
      </c>
      <c r="R586" t="s">
        <v>66</v>
      </c>
      <c r="S586" t="s">
        <v>66</v>
      </c>
      <c r="T586">
        <v>0</v>
      </c>
      <c r="U586">
        <v>0</v>
      </c>
      <c r="V586">
        <v>6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6</v>
      </c>
      <c r="AG586">
        <v>0</v>
      </c>
      <c r="AH586">
        <v>4</v>
      </c>
      <c r="AI586">
        <v>2</v>
      </c>
      <c r="AJ586">
        <v>11</v>
      </c>
      <c r="AK586">
        <v>4</v>
      </c>
      <c r="AL586">
        <v>14</v>
      </c>
      <c r="AM586">
        <v>3</v>
      </c>
      <c r="AN586" t="s">
        <v>2475</v>
      </c>
      <c r="AO586" t="s">
        <v>2476</v>
      </c>
      <c r="AP586">
        <v>1.5589999999999999</v>
      </c>
      <c r="AQ586" t="s">
        <v>69</v>
      </c>
      <c r="AR586">
        <v>25</v>
      </c>
      <c r="AS586">
        <v>7</v>
      </c>
      <c r="AT586">
        <v>3.5810000000000002E-2</v>
      </c>
      <c r="AU586">
        <v>-5.2900000000000004E-3</v>
      </c>
      <c r="AV586">
        <v>0.13406000000000001</v>
      </c>
      <c r="AW586">
        <v>-2.315E-2</v>
      </c>
      <c r="AX586">
        <v>1.0120000000000001E-2</v>
      </c>
      <c r="AY586">
        <v>-1.14E-3</v>
      </c>
      <c r="AZ586">
        <v>7.5520000000000004E-2</v>
      </c>
      <c r="BA586">
        <v>1</v>
      </c>
      <c r="BB586" t="s">
        <v>70</v>
      </c>
      <c r="BC586">
        <v>0.51300000000000001</v>
      </c>
      <c r="BD586">
        <v>0.26100000000000001</v>
      </c>
      <c r="BE586" t="s">
        <v>71</v>
      </c>
    </row>
    <row r="587" spans="1:57">
      <c r="A587">
        <v>2503</v>
      </c>
      <c r="B587" t="s">
        <v>2484</v>
      </c>
      <c r="D587" t="s">
        <v>66</v>
      </c>
      <c r="E587" t="s">
        <v>2485</v>
      </c>
      <c r="F587" t="s">
        <v>2486</v>
      </c>
      <c r="G587">
        <v>142</v>
      </c>
      <c r="H587" t="s">
        <v>63</v>
      </c>
      <c r="I587">
        <v>5</v>
      </c>
      <c r="J587" t="str">
        <f>HYPERLINK("Gene2503-zp_tree_all.dnd", "Gene2503-tree")</f>
        <v>Gene2503-tree</v>
      </c>
      <c r="K587">
        <v>3</v>
      </c>
      <c r="L587">
        <v>2</v>
      </c>
      <c r="M587">
        <v>2</v>
      </c>
      <c r="N587">
        <v>2</v>
      </c>
      <c r="O587">
        <v>0.5</v>
      </c>
      <c r="P587" t="s">
        <v>185</v>
      </c>
      <c r="Q587" t="s">
        <v>124</v>
      </c>
      <c r="R587" t="s">
        <v>66</v>
      </c>
      <c r="S587" t="s">
        <v>66</v>
      </c>
      <c r="T587">
        <v>0</v>
      </c>
      <c r="U587">
        <v>0</v>
      </c>
      <c r="V587">
        <v>2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2</v>
      </c>
      <c r="AG587">
        <v>0</v>
      </c>
      <c r="AH587">
        <v>3</v>
      </c>
      <c r="AI587">
        <v>1</v>
      </c>
      <c r="AJ587">
        <v>6</v>
      </c>
      <c r="AK587">
        <v>2</v>
      </c>
      <c r="AL587">
        <v>3</v>
      </c>
      <c r="AM587">
        <v>0</v>
      </c>
      <c r="AN587" t="s">
        <v>2487</v>
      </c>
      <c r="AO587" t="s">
        <v>68</v>
      </c>
      <c r="AP587">
        <v>2.5819999999999999</v>
      </c>
      <c r="AQ587" t="s">
        <v>239</v>
      </c>
      <c r="AR587">
        <v>9</v>
      </c>
      <c r="AS587">
        <v>2</v>
      </c>
      <c r="AT587">
        <v>1.418E-2</v>
      </c>
      <c r="AU587">
        <v>-1.9300000000000001E-3</v>
      </c>
      <c r="AV587">
        <v>5.8189999999999999E-2</v>
      </c>
      <c r="AW587">
        <v>-9.4699999999999993E-3</v>
      </c>
      <c r="AX587">
        <v>3.0100000000000001E-3</v>
      </c>
      <c r="AY587">
        <v>-5.0000000000000001E-4</v>
      </c>
      <c r="AZ587">
        <v>5.1720000000000002E-2</v>
      </c>
      <c r="BA587">
        <v>1</v>
      </c>
      <c r="BB587" t="s">
        <v>70</v>
      </c>
      <c r="BC587">
        <v>-0.38200000000000001</v>
      </c>
      <c r="BD587">
        <v>-0.38200000000000001</v>
      </c>
      <c r="BE587" t="s">
        <v>71</v>
      </c>
    </row>
    <row r="588" spans="1:57">
      <c r="A588">
        <v>2504</v>
      </c>
      <c r="B588" t="s">
        <v>2488</v>
      </c>
      <c r="D588" t="s">
        <v>66</v>
      </c>
      <c r="E588" t="s">
        <v>2489</v>
      </c>
      <c r="F588" t="s">
        <v>2490</v>
      </c>
      <c r="G588">
        <v>278</v>
      </c>
      <c r="H588" t="s">
        <v>85</v>
      </c>
      <c r="I588">
        <v>4</v>
      </c>
      <c r="J588" t="str">
        <f>HYPERLINK("Gene2504-zp_tree_all.dnd", "Gene2504-tree")</f>
        <v>Gene2504-tree</v>
      </c>
      <c r="K588">
        <v>1</v>
      </c>
      <c r="L588">
        <v>3</v>
      </c>
      <c r="M588">
        <v>1</v>
      </c>
      <c r="N588">
        <v>3</v>
      </c>
      <c r="O588">
        <v>0.75</v>
      </c>
      <c r="P588" t="s">
        <v>65</v>
      </c>
      <c r="Q588" t="s">
        <v>86</v>
      </c>
      <c r="R588" t="s">
        <v>66</v>
      </c>
      <c r="S588" t="s">
        <v>66</v>
      </c>
      <c r="T588">
        <v>0</v>
      </c>
      <c r="U588">
        <v>0</v>
      </c>
      <c r="V588">
        <v>6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6</v>
      </c>
      <c r="AG588">
        <v>0</v>
      </c>
      <c r="AH588">
        <v>4</v>
      </c>
      <c r="AI588">
        <v>1</v>
      </c>
      <c r="AJ588">
        <v>44</v>
      </c>
      <c r="AK588">
        <v>6</v>
      </c>
      <c r="AL588">
        <v>5</v>
      </c>
      <c r="AM588">
        <v>0</v>
      </c>
      <c r="AN588" t="s">
        <v>2491</v>
      </c>
      <c r="AO588" t="s">
        <v>68</v>
      </c>
      <c r="AP588">
        <v>0.99</v>
      </c>
      <c r="AQ588" t="s">
        <v>69</v>
      </c>
      <c r="AR588">
        <v>49</v>
      </c>
      <c r="AS588">
        <v>6</v>
      </c>
      <c r="AT588">
        <v>3.3169999999999998E-2</v>
      </c>
      <c r="AU588">
        <v>-7.5300000000000002E-3</v>
      </c>
      <c r="AV588">
        <v>0.15168000000000001</v>
      </c>
      <c r="AW588">
        <v>-3.8120000000000001E-2</v>
      </c>
      <c r="AX588">
        <v>4.6499999999999996E-3</v>
      </c>
      <c r="AY588">
        <v>-8.1999999999999998E-4</v>
      </c>
      <c r="AZ588">
        <v>3.0640000000000001E-2</v>
      </c>
      <c r="BA588">
        <v>1</v>
      </c>
      <c r="BB588" t="s">
        <v>70</v>
      </c>
      <c r="BC588">
        <v>-0.44800000000000001</v>
      </c>
      <c r="BD588">
        <v>-0.628</v>
      </c>
      <c r="BE588" t="s">
        <v>71</v>
      </c>
    </row>
    <row r="589" spans="1:57">
      <c r="A589">
        <v>2528</v>
      </c>
      <c r="B589" t="s">
        <v>2500</v>
      </c>
      <c r="D589" t="s">
        <v>66</v>
      </c>
      <c r="E589" t="s">
        <v>2501</v>
      </c>
      <c r="F589" t="s">
        <v>2502</v>
      </c>
      <c r="G589">
        <v>126</v>
      </c>
      <c r="H589" t="s">
        <v>63</v>
      </c>
      <c r="I589">
        <v>5</v>
      </c>
      <c r="J589" t="str">
        <f>HYPERLINK("Gene2528-zp_tree_all.dnd", "Gene2528-tree")</f>
        <v>Gene2528-tree</v>
      </c>
      <c r="K589">
        <v>3</v>
      </c>
      <c r="L589">
        <v>2</v>
      </c>
      <c r="M589">
        <v>3</v>
      </c>
      <c r="N589">
        <v>1</v>
      </c>
      <c r="O589">
        <v>0.25</v>
      </c>
      <c r="P589" t="s">
        <v>86</v>
      </c>
      <c r="Q589" t="s">
        <v>65</v>
      </c>
      <c r="R589" t="s">
        <v>66</v>
      </c>
      <c r="S589" t="s">
        <v>66</v>
      </c>
      <c r="T589">
        <v>1</v>
      </c>
      <c r="U589">
        <v>2</v>
      </c>
      <c r="V589">
        <v>2</v>
      </c>
      <c r="W589">
        <v>0.5</v>
      </c>
      <c r="X589">
        <v>0</v>
      </c>
      <c r="Y589">
        <v>0</v>
      </c>
      <c r="Z589">
        <v>0</v>
      </c>
      <c r="AA589">
        <v>3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  <c r="AH589">
        <v>4</v>
      </c>
      <c r="AI589">
        <v>1</v>
      </c>
      <c r="AJ589">
        <v>7</v>
      </c>
      <c r="AK589">
        <v>1</v>
      </c>
      <c r="AL589">
        <v>11</v>
      </c>
      <c r="AM589">
        <v>3</v>
      </c>
      <c r="AN589" t="s">
        <v>2503</v>
      </c>
      <c r="AO589" t="s">
        <v>2504</v>
      </c>
      <c r="AP589">
        <v>0.47699999999999998</v>
      </c>
      <c r="AQ589" t="s">
        <v>69</v>
      </c>
      <c r="AR589">
        <v>18</v>
      </c>
      <c r="AS589">
        <v>4</v>
      </c>
      <c r="AT589">
        <v>3.6130000000000002E-2</v>
      </c>
      <c r="AU589">
        <v>-7.3600000000000002E-3</v>
      </c>
      <c r="AV589">
        <v>0.15134</v>
      </c>
      <c r="AW589">
        <v>-3.1460000000000002E-2</v>
      </c>
      <c r="AX589">
        <v>8.7500000000000008E-3</v>
      </c>
      <c r="AY589">
        <v>-2.15E-3</v>
      </c>
      <c r="AZ589">
        <v>5.781E-2</v>
      </c>
      <c r="BA589">
        <v>1</v>
      </c>
      <c r="BB589" t="s">
        <v>70</v>
      </c>
      <c r="BC589">
        <v>1.0109999999999999</v>
      </c>
      <c r="BD589">
        <v>1.0109999999999999</v>
      </c>
      <c r="BE589" t="s">
        <v>71</v>
      </c>
    </row>
    <row r="590" spans="1:57">
      <c r="A590">
        <v>2550</v>
      </c>
      <c r="B590" t="s">
        <v>2511</v>
      </c>
      <c r="D590" t="s">
        <v>66</v>
      </c>
      <c r="E590" t="s">
        <v>2512</v>
      </c>
      <c r="F590" t="s">
        <v>2513</v>
      </c>
      <c r="G590">
        <v>300</v>
      </c>
      <c r="H590" t="s">
        <v>63</v>
      </c>
      <c r="I590">
        <v>5</v>
      </c>
      <c r="J590" t="str">
        <f>HYPERLINK("Gene2550-zp_tree_all.dnd", "Gene2550-tree")</f>
        <v>Gene2550-tree</v>
      </c>
      <c r="K590">
        <v>1</v>
      </c>
      <c r="L590">
        <v>4</v>
      </c>
      <c r="M590">
        <v>1</v>
      </c>
      <c r="N590">
        <v>4</v>
      </c>
      <c r="O590">
        <v>0.8</v>
      </c>
      <c r="P590" t="s">
        <v>65</v>
      </c>
      <c r="Q590" t="s">
        <v>64</v>
      </c>
      <c r="R590" t="s">
        <v>66</v>
      </c>
      <c r="S590" t="s">
        <v>66</v>
      </c>
      <c r="T590">
        <v>0</v>
      </c>
      <c r="U590">
        <v>0</v>
      </c>
      <c r="V590">
        <v>10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10</v>
      </c>
      <c r="AG590">
        <v>0</v>
      </c>
      <c r="AH590">
        <v>5</v>
      </c>
      <c r="AI590">
        <v>2</v>
      </c>
      <c r="AJ590">
        <v>37</v>
      </c>
      <c r="AK590">
        <v>6</v>
      </c>
      <c r="AL590">
        <v>17</v>
      </c>
      <c r="AM590">
        <v>4</v>
      </c>
      <c r="AN590" t="s">
        <v>2514</v>
      </c>
      <c r="AO590" t="s">
        <v>2515</v>
      </c>
      <c r="AP590">
        <v>0.98899999999999999</v>
      </c>
      <c r="AQ590" t="s">
        <v>69</v>
      </c>
      <c r="AR590">
        <v>54</v>
      </c>
      <c r="AS590">
        <v>10</v>
      </c>
      <c r="AT590">
        <v>3.1559999999999998E-2</v>
      </c>
      <c r="AU590">
        <v>-3.3400000000000001E-3</v>
      </c>
      <c r="AV590">
        <v>0.12378</v>
      </c>
      <c r="AW590">
        <v>-1.3729999999999999E-2</v>
      </c>
      <c r="AX590">
        <v>6.9800000000000001E-3</v>
      </c>
      <c r="AY590">
        <v>-8.7000000000000001E-4</v>
      </c>
      <c r="AZ590">
        <v>5.6399999999999999E-2</v>
      </c>
      <c r="BA590">
        <v>1</v>
      </c>
      <c r="BB590" t="s">
        <v>70</v>
      </c>
      <c r="BC590">
        <v>2.1000000000000001E-2</v>
      </c>
      <c r="BD590">
        <v>-8.5000000000000006E-2</v>
      </c>
      <c r="BE590" t="s">
        <v>71</v>
      </c>
    </row>
    <row r="591" spans="1:57">
      <c r="A591">
        <v>2553</v>
      </c>
      <c r="B591" t="s">
        <v>2516</v>
      </c>
      <c r="D591" t="s">
        <v>66</v>
      </c>
      <c r="E591" t="s">
        <v>2517</v>
      </c>
      <c r="F591" t="s">
        <v>2518</v>
      </c>
      <c r="G591">
        <v>202</v>
      </c>
      <c r="H591" t="s">
        <v>63</v>
      </c>
      <c r="I591">
        <v>5</v>
      </c>
      <c r="J591" t="str">
        <f>HYPERLINK("Gene2553-zp_tree_all.dnd", "Gene2553-tree")</f>
        <v>Gene2553-tree</v>
      </c>
      <c r="K591">
        <v>3</v>
      </c>
      <c r="L591">
        <v>2</v>
      </c>
      <c r="M591">
        <v>3</v>
      </c>
      <c r="N591">
        <v>2</v>
      </c>
      <c r="O591">
        <v>0.4</v>
      </c>
      <c r="P591" t="s">
        <v>86</v>
      </c>
      <c r="Q591" t="s">
        <v>124</v>
      </c>
      <c r="R591" t="s">
        <v>66</v>
      </c>
      <c r="S591" t="s">
        <v>66</v>
      </c>
      <c r="T591">
        <v>0</v>
      </c>
      <c r="U591">
        <v>0</v>
      </c>
      <c r="V591">
        <v>3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3</v>
      </c>
      <c r="AG591">
        <v>0</v>
      </c>
      <c r="AH591">
        <v>4</v>
      </c>
      <c r="AI591">
        <v>2</v>
      </c>
      <c r="AJ591">
        <v>16</v>
      </c>
      <c r="AK591">
        <v>2</v>
      </c>
      <c r="AL591">
        <v>6</v>
      </c>
      <c r="AM591">
        <v>1</v>
      </c>
      <c r="AN591" t="s">
        <v>2519</v>
      </c>
      <c r="AO591" t="s">
        <v>2520</v>
      </c>
      <c r="AP591">
        <v>0.223</v>
      </c>
      <c r="AQ591" t="s">
        <v>69</v>
      </c>
      <c r="AR591">
        <v>22</v>
      </c>
      <c r="AS591">
        <v>3</v>
      </c>
      <c r="AT591">
        <v>1.881E-2</v>
      </c>
      <c r="AU591">
        <v>-2.7299999999999998E-3</v>
      </c>
      <c r="AV591">
        <v>7.6200000000000004E-2</v>
      </c>
      <c r="AW591">
        <v>-1.089E-2</v>
      </c>
      <c r="AX591">
        <v>3.0100000000000001E-3</v>
      </c>
      <c r="AY591">
        <v>-6.2E-4</v>
      </c>
      <c r="AZ591">
        <v>3.9489999999999997E-2</v>
      </c>
      <c r="BA591">
        <v>1</v>
      </c>
      <c r="BB591" t="s">
        <v>70</v>
      </c>
      <c r="BC591">
        <v>-0.372</v>
      </c>
      <c r="BD591">
        <v>-0.372</v>
      </c>
      <c r="BE591" t="s">
        <v>71</v>
      </c>
    </row>
    <row r="592" spans="1:57">
      <c r="A592">
        <v>2571</v>
      </c>
      <c r="B592" t="s">
        <v>2526</v>
      </c>
      <c r="D592" t="s">
        <v>66</v>
      </c>
      <c r="E592" t="s">
        <v>2527</v>
      </c>
      <c r="F592" t="s">
        <v>2528</v>
      </c>
      <c r="G592">
        <v>371</v>
      </c>
      <c r="H592" t="s">
        <v>63</v>
      </c>
      <c r="I592">
        <v>5</v>
      </c>
      <c r="J592" t="str">
        <f>HYPERLINK("Gene2571-zp_tree_all.dnd", "Gene2571-tree")</f>
        <v>Gene2571-tree</v>
      </c>
      <c r="K592">
        <v>5</v>
      </c>
      <c r="L592">
        <v>0</v>
      </c>
      <c r="M592">
        <v>4</v>
      </c>
      <c r="N592">
        <v>0</v>
      </c>
      <c r="O592">
        <v>0</v>
      </c>
      <c r="P592" t="s">
        <v>135</v>
      </c>
      <c r="Q592" t="s">
        <v>66</v>
      </c>
      <c r="R592" t="s">
        <v>66</v>
      </c>
      <c r="S592" t="s">
        <v>66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4</v>
      </c>
      <c r="AI592">
        <v>1</v>
      </c>
      <c r="AJ592">
        <v>20</v>
      </c>
      <c r="AK592">
        <v>0</v>
      </c>
      <c r="AL592">
        <v>21</v>
      </c>
      <c r="AM592">
        <v>0</v>
      </c>
      <c r="AN592" t="s">
        <v>68</v>
      </c>
      <c r="AO592" t="s">
        <v>68</v>
      </c>
      <c r="AP592">
        <v>0</v>
      </c>
      <c r="AQ592" t="s">
        <v>69</v>
      </c>
      <c r="AR592">
        <v>41</v>
      </c>
      <c r="AS592">
        <v>0</v>
      </c>
      <c r="AT592">
        <v>2.1260000000000001E-2</v>
      </c>
      <c r="AU592">
        <v>-3.8899999999999998E-3</v>
      </c>
      <c r="AV592">
        <v>0.10491</v>
      </c>
      <c r="AW592">
        <v>-1.9650000000000001E-2</v>
      </c>
      <c r="AX592">
        <v>0</v>
      </c>
      <c r="AY592">
        <v>0</v>
      </c>
      <c r="AZ592">
        <v>0</v>
      </c>
      <c r="BA592">
        <v>1</v>
      </c>
      <c r="BB592" t="s">
        <v>70</v>
      </c>
      <c r="BC592">
        <v>0.50900000000000001</v>
      </c>
      <c r="BD592">
        <v>0.313</v>
      </c>
      <c r="BE592" t="s">
        <v>71</v>
      </c>
    </row>
    <row r="593" spans="1:57">
      <c r="A593">
        <v>2572</v>
      </c>
      <c r="B593" t="s">
        <v>2529</v>
      </c>
      <c r="D593" t="s">
        <v>66</v>
      </c>
      <c r="E593" t="s">
        <v>2530</v>
      </c>
      <c r="F593" t="s">
        <v>2531</v>
      </c>
      <c r="G593">
        <v>603</v>
      </c>
      <c r="H593" t="s">
        <v>85</v>
      </c>
      <c r="I593">
        <v>4</v>
      </c>
      <c r="J593" t="str">
        <f>HYPERLINK("Gene2572-zp_tree_all.dnd", "Gene2572-tree")</f>
        <v>Gene2572-tree</v>
      </c>
      <c r="K593">
        <v>1</v>
      </c>
      <c r="L593">
        <v>3</v>
      </c>
      <c r="M593">
        <v>1</v>
      </c>
      <c r="N593">
        <v>3</v>
      </c>
      <c r="O593">
        <v>0.75</v>
      </c>
      <c r="P593" t="s">
        <v>65</v>
      </c>
      <c r="Q593" t="s">
        <v>86</v>
      </c>
      <c r="R593" t="s">
        <v>66</v>
      </c>
      <c r="S593" t="s">
        <v>66</v>
      </c>
      <c r="T593">
        <v>0</v>
      </c>
      <c r="U593">
        <v>0</v>
      </c>
      <c r="V593">
        <v>13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13</v>
      </c>
      <c r="AG593">
        <v>0</v>
      </c>
      <c r="AH593">
        <v>4</v>
      </c>
      <c r="AI593">
        <v>1</v>
      </c>
      <c r="AJ593">
        <v>64</v>
      </c>
      <c r="AK593">
        <v>12</v>
      </c>
      <c r="AL593">
        <v>11</v>
      </c>
      <c r="AM593">
        <v>1</v>
      </c>
      <c r="AN593" t="s">
        <v>2532</v>
      </c>
      <c r="AO593" t="s">
        <v>2533</v>
      </c>
      <c r="AP593">
        <v>0.34200000000000003</v>
      </c>
      <c r="AQ593" t="s">
        <v>69</v>
      </c>
      <c r="AR593">
        <v>75</v>
      </c>
      <c r="AS593">
        <v>13</v>
      </c>
      <c r="AT593">
        <v>2.4879999999999999E-2</v>
      </c>
      <c r="AU593">
        <v>-6.0499999999999998E-3</v>
      </c>
      <c r="AV593">
        <v>0.10524</v>
      </c>
      <c r="AW593">
        <v>-2.6360000000000001E-2</v>
      </c>
      <c r="AX593">
        <v>4.7499999999999999E-3</v>
      </c>
      <c r="AY593">
        <v>-1.1999999999999999E-3</v>
      </c>
      <c r="AZ593">
        <v>4.5170000000000002E-2</v>
      </c>
      <c r="BA593">
        <v>1</v>
      </c>
      <c r="BB593" t="s">
        <v>70</v>
      </c>
      <c r="BC593">
        <v>-0.307</v>
      </c>
      <c r="BD593">
        <v>-0.53300000000000003</v>
      </c>
      <c r="BE593" t="s">
        <v>71</v>
      </c>
    </row>
    <row r="594" spans="1:57">
      <c r="A594">
        <v>2572</v>
      </c>
      <c r="B594" t="s">
        <v>2529</v>
      </c>
      <c r="D594" t="s">
        <v>66</v>
      </c>
      <c r="E594" t="s">
        <v>2530</v>
      </c>
      <c r="F594" t="s">
        <v>2531</v>
      </c>
      <c r="G594">
        <v>603</v>
      </c>
      <c r="H594" t="s">
        <v>85</v>
      </c>
      <c r="I594">
        <v>4</v>
      </c>
      <c r="J594" t="str">
        <f>HYPERLINK("Gene2572-zp_tree_all.dnd", "Gene2572-tree")</f>
        <v>Gene2572-tree</v>
      </c>
      <c r="K594">
        <v>1</v>
      </c>
      <c r="L594">
        <v>3</v>
      </c>
      <c r="M594">
        <v>1</v>
      </c>
      <c r="N594">
        <v>3</v>
      </c>
      <c r="O594">
        <v>0.75</v>
      </c>
      <c r="P594" t="s">
        <v>65</v>
      </c>
      <c r="Q594" t="s">
        <v>86</v>
      </c>
      <c r="R594" t="s">
        <v>66</v>
      </c>
      <c r="S594" t="s">
        <v>66</v>
      </c>
      <c r="T594">
        <v>0</v>
      </c>
      <c r="U594">
        <v>0</v>
      </c>
      <c r="V594">
        <v>13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13</v>
      </c>
      <c r="AG594">
        <v>0</v>
      </c>
      <c r="AH594">
        <v>4</v>
      </c>
      <c r="AI594">
        <v>1</v>
      </c>
      <c r="AJ594">
        <v>64</v>
      </c>
      <c r="AK594">
        <v>12</v>
      </c>
      <c r="AL594">
        <v>11</v>
      </c>
      <c r="AM594">
        <v>1</v>
      </c>
      <c r="AN594" t="s">
        <v>2532</v>
      </c>
      <c r="AO594" t="s">
        <v>2533</v>
      </c>
      <c r="AP594">
        <v>0.34200000000000003</v>
      </c>
      <c r="AQ594" t="s">
        <v>69</v>
      </c>
      <c r="AR594">
        <v>75</v>
      </c>
      <c r="AS594">
        <v>13</v>
      </c>
      <c r="AT594">
        <v>2.4879999999999999E-2</v>
      </c>
      <c r="AU594">
        <v>-6.0499999999999998E-3</v>
      </c>
      <c r="AV594">
        <v>0.10524</v>
      </c>
      <c r="AW594">
        <v>-2.6360000000000001E-2</v>
      </c>
      <c r="AX594">
        <v>4.7499999999999999E-3</v>
      </c>
      <c r="AY594">
        <v>-1.1999999999999999E-3</v>
      </c>
      <c r="AZ594">
        <v>4.5170000000000002E-2</v>
      </c>
      <c r="BA594">
        <v>1</v>
      </c>
      <c r="BB594" t="s">
        <v>70</v>
      </c>
      <c r="BC594">
        <v>-0.307</v>
      </c>
      <c r="BD594">
        <v>-0.53300000000000003</v>
      </c>
      <c r="BE594" t="s">
        <v>71</v>
      </c>
    </row>
    <row r="595" spans="1:57">
      <c r="A595">
        <v>2574</v>
      </c>
      <c r="B595" t="s">
        <v>2538</v>
      </c>
      <c r="D595" t="s">
        <v>66</v>
      </c>
      <c r="E595" t="s">
        <v>2539</v>
      </c>
      <c r="F595" t="s">
        <v>74</v>
      </c>
      <c r="G595">
        <v>164</v>
      </c>
      <c r="H595" t="s">
        <v>63</v>
      </c>
      <c r="I595">
        <v>5</v>
      </c>
      <c r="J595" t="str">
        <f>HYPERLINK("Gene2574-zp_tree_all.dnd", "Gene2574-tree")</f>
        <v>Gene2574-tree</v>
      </c>
      <c r="K595">
        <v>2</v>
      </c>
      <c r="L595">
        <v>3</v>
      </c>
      <c r="M595">
        <v>2</v>
      </c>
      <c r="N595">
        <v>3</v>
      </c>
      <c r="O595">
        <v>0.6</v>
      </c>
      <c r="P595" t="s">
        <v>124</v>
      </c>
      <c r="Q595" t="s">
        <v>86</v>
      </c>
      <c r="R595" t="s">
        <v>66</v>
      </c>
      <c r="S595" t="s">
        <v>66</v>
      </c>
      <c r="T595">
        <v>0</v>
      </c>
      <c r="U595">
        <v>0</v>
      </c>
      <c r="V595">
        <v>6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0</v>
      </c>
      <c r="AC595">
        <v>0</v>
      </c>
      <c r="AD595">
        <v>0</v>
      </c>
      <c r="AE595">
        <v>0</v>
      </c>
      <c r="AF595">
        <v>3</v>
      </c>
      <c r="AG595">
        <v>0</v>
      </c>
      <c r="AH595">
        <v>5</v>
      </c>
      <c r="AI595">
        <v>2</v>
      </c>
      <c r="AJ595">
        <v>8</v>
      </c>
      <c r="AK595">
        <v>3</v>
      </c>
      <c r="AL595">
        <v>9</v>
      </c>
      <c r="AM595">
        <v>3</v>
      </c>
      <c r="AN595" t="s">
        <v>2540</v>
      </c>
      <c r="AO595" t="s">
        <v>2541</v>
      </c>
      <c r="AP595">
        <v>0.309</v>
      </c>
      <c r="AQ595" t="s">
        <v>69</v>
      </c>
      <c r="AR595">
        <v>17</v>
      </c>
      <c r="AS595">
        <v>6</v>
      </c>
      <c r="AT595">
        <v>2.3369999999999998E-2</v>
      </c>
      <c r="AU595">
        <v>-3.2599999999999999E-3</v>
      </c>
      <c r="AV595">
        <v>8.3510000000000001E-2</v>
      </c>
      <c r="AW595">
        <v>-1.26E-2</v>
      </c>
      <c r="AX595">
        <v>7.8799999999999999E-3</v>
      </c>
      <c r="AY595">
        <v>-1.0499999999999999E-3</v>
      </c>
      <c r="AZ595">
        <v>9.4350000000000003E-2</v>
      </c>
      <c r="BA595">
        <v>1</v>
      </c>
      <c r="BB595" t="s">
        <v>70</v>
      </c>
      <c r="BC595">
        <v>0.66</v>
      </c>
      <c r="BD595">
        <v>0.309</v>
      </c>
      <c r="BE595" t="s">
        <v>71</v>
      </c>
    </row>
    <row r="596" spans="1:57">
      <c r="A596">
        <v>2575</v>
      </c>
      <c r="B596" t="s">
        <v>2542</v>
      </c>
      <c r="D596" t="s">
        <v>66</v>
      </c>
      <c r="E596" t="s">
        <v>2543</v>
      </c>
      <c r="F596" t="s">
        <v>74</v>
      </c>
      <c r="G596">
        <v>270</v>
      </c>
      <c r="H596" t="s">
        <v>63</v>
      </c>
      <c r="I596">
        <v>5</v>
      </c>
      <c r="J596" t="str">
        <f>HYPERLINK("Gene2575-zp_tree_all.dnd", "Gene2575-tree")</f>
        <v>Gene2575-tree</v>
      </c>
      <c r="K596">
        <v>5</v>
      </c>
      <c r="L596">
        <v>0</v>
      </c>
      <c r="M596">
        <v>5</v>
      </c>
      <c r="N596">
        <v>0</v>
      </c>
      <c r="O596">
        <v>0</v>
      </c>
      <c r="P596" t="s">
        <v>96</v>
      </c>
      <c r="Q596" t="s">
        <v>66</v>
      </c>
      <c r="R596" t="s">
        <v>66</v>
      </c>
      <c r="S596" t="s">
        <v>66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4</v>
      </c>
      <c r="AI596">
        <v>2</v>
      </c>
      <c r="AJ596">
        <v>17</v>
      </c>
      <c r="AK596">
        <v>0</v>
      </c>
      <c r="AL596">
        <v>30</v>
      </c>
      <c r="AM596">
        <v>1</v>
      </c>
      <c r="AN596" t="s">
        <v>68</v>
      </c>
      <c r="AO596" t="s">
        <v>2544</v>
      </c>
      <c r="AP596">
        <v>0.79800000000000004</v>
      </c>
      <c r="AQ596" t="s">
        <v>69</v>
      </c>
      <c r="AR596">
        <v>47</v>
      </c>
      <c r="AS596">
        <v>1</v>
      </c>
      <c r="AT596">
        <v>3.0859999999999999E-2</v>
      </c>
      <c r="AU596">
        <v>-6.1799999999999997E-3</v>
      </c>
      <c r="AV596">
        <v>0.1492</v>
      </c>
      <c r="AW596">
        <v>-3.056E-2</v>
      </c>
      <c r="AX596">
        <v>9.7000000000000005E-4</v>
      </c>
      <c r="AY596">
        <v>-2.3000000000000001E-4</v>
      </c>
      <c r="AZ596">
        <v>6.4900000000000001E-3</v>
      </c>
      <c r="BA596">
        <v>1</v>
      </c>
      <c r="BB596" t="s">
        <v>70</v>
      </c>
      <c r="BC596">
        <v>0.96299999999999997</v>
      </c>
      <c r="BD596">
        <v>0.65500000000000003</v>
      </c>
      <c r="BE596" t="s">
        <v>71</v>
      </c>
    </row>
    <row r="597" spans="1:57">
      <c r="A597">
        <v>2576</v>
      </c>
      <c r="B597" t="s">
        <v>2545</v>
      </c>
      <c r="D597" t="s">
        <v>66</v>
      </c>
      <c r="E597" t="s">
        <v>2546</v>
      </c>
      <c r="F597" t="s">
        <v>2547</v>
      </c>
      <c r="G597">
        <v>212</v>
      </c>
      <c r="H597" t="s">
        <v>63</v>
      </c>
      <c r="I597">
        <v>5</v>
      </c>
      <c r="J597" t="str">
        <f>HYPERLINK("Gene2576-zp_tree_all.dnd", "Gene2576-tree")</f>
        <v>Gene2576-tree</v>
      </c>
      <c r="K597">
        <v>5</v>
      </c>
      <c r="L597">
        <v>0</v>
      </c>
      <c r="M597">
        <v>5</v>
      </c>
      <c r="N597">
        <v>0</v>
      </c>
      <c r="O597">
        <v>0</v>
      </c>
      <c r="P597" t="s">
        <v>96</v>
      </c>
      <c r="Q597" t="s">
        <v>66</v>
      </c>
      <c r="R597" t="s">
        <v>66</v>
      </c>
      <c r="S597" t="s">
        <v>66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4</v>
      </c>
      <c r="AI597">
        <v>2</v>
      </c>
      <c r="AJ597">
        <v>11</v>
      </c>
      <c r="AK597">
        <v>0</v>
      </c>
      <c r="AL597">
        <v>19</v>
      </c>
      <c r="AM597">
        <v>0</v>
      </c>
      <c r="AN597" t="s">
        <v>68</v>
      </c>
      <c r="AO597" t="s">
        <v>68</v>
      </c>
      <c r="AP597">
        <v>0</v>
      </c>
      <c r="AQ597" t="s">
        <v>69</v>
      </c>
      <c r="AR597">
        <v>30</v>
      </c>
      <c r="AS597">
        <v>0</v>
      </c>
      <c r="AT597">
        <v>2.3380000000000001E-2</v>
      </c>
      <c r="AU597">
        <v>-4.62E-3</v>
      </c>
      <c r="AV597">
        <v>0.11199000000000001</v>
      </c>
      <c r="AW597">
        <v>-2.2599999999999999E-2</v>
      </c>
      <c r="AX597">
        <v>0</v>
      </c>
      <c r="AY597">
        <v>0</v>
      </c>
      <c r="AZ597">
        <v>0</v>
      </c>
      <c r="BA597">
        <v>1</v>
      </c>
      <c r="BB597" t="s">
        <v>70</v>
      </c>
      <c r="BC597">
        <v>1.385</v>
      </c>
      <c r="BD597">
        <v>0.191</v>
      </c>
      <c r="BE597" t="s">
        <v>71</v>
      </c>
    </row>
    <row r="598" spans="1:57">
      <c r="A598">
        <v>2578</v>
      </c>
      <c r="B598" t="s">
        <v>2548</v>
      </c>
      <c r="D598" t="s">
        <v>66</v>
      </c>
      <c r="E598" t="s">
        <v>2549</v>
      </c>
      <c r="F598" t="s">
        <v>2550</v>
      </c>
      <c r="G598">
        <v>295</v>
      </c>
      <c r="H598" t="s">
        <v>85</v>
      </c>
      <c r="I598">
        <v>4</v>
      </c>
      <c r="J598" t="str">
        <f>HYPERLINK("Gene2578-zp_tree_all.dnd", "Gene2578-tree")</f>
        <v>Gene2578-tree</v>
      </c>
      <c r="K598">
        <v>4</v>
      </c>
      <c r="L598">
        <v>0</v>
      </c>
      <c r="M598">
        <v>4</v>
      </c>
      <c r="N598">
        <v>0</v>
      </c>
      <c r="O598">
        <v>0</v>
      </c>
      <c r="P598" t="s">
        <v>64</v>
      </c>
      <c r="Q598" t="s">
        <v>66</v>
      </c>
      <c r="R598" t="s">
        <v>66</v>
      </c>
      <c r="S598" t="s">
        <v>66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3</v>
      </c>
      <c r="AI598">
        <v>1</v>
      </c>
      <c r="AJ598">
        <v>43</v>
      </c>
      <c r="AK598">
        <v>0</v>
      </c>
      <c r="AL598">
        <v>4</v>
      </c>
      <c r="AM598">
        <v>0</v>
      </c>
      <c r="AN598" t="s">
        <v>68</v>
      </c>
      <c r="AO598" t="s">
        <v>68</v>
      </c>
      <c r="AP598">
        <v>0</v>
      </c>
      <c r="AQ598" t="s">
        <v>69</v>
      </c>
      <c r="AR598">
        <v>47</v>
      </c>
      <c r="AS598">
        <v>0</v>
      </c>
      <c r="AT598">
        <v>2.7310000000000001E-2</v>
      </c>
      <c r="AU598">
        <v>-8.4399999999999996E-3</v>
      </c>
      <c r="AV598">
        <v>0.14133999999999999</v>
      </c>
      <c r="AW598">
        <v>-4.5310000000000003E-2</v>
      </c>
      <c r="AX598">
        <v>0</v>
      </c>
      <c r="AY598">
        <v>0</v>
      </c>
      <c r="AZ598">
        <v>0</v>
      </c>
      <c r="BA598">
        <v>1</v>
      </c>
      <c r="BB598" t="s">
        <v>70</v>
      </c>
      <c r="BC598">
        <v>-0.59599999999999997</v>
      </c>
      <c r="BD598">
        <v>-0.59599999999999997</v>
      </c>
      <c r="BE598" t="s">
        <v>71</v>
      </c>
    </row>
    <row r="599" spans="1:57">
      <c r="A599">
        <v>2581</v>
      </c>
      <c r="B599" t="s">
        <v>2553</v>
      </c>
      <c r="D599" t="s">
        <v>66</v>
      </c>
      <c r="E599" t="s">
        <v>2554</v>
      </c>
      <c r="F599" t="s">
        <v>2555</v>
      </c>
      <c r="G599">
        <v>301</v>
      </c>
      <c r="H599" t="s">
        <v>63</v>
      </c>
      <c r="I599">
        <v>5</v>
      </c>
      <c r="J599" t="str">
        <f>HYPERLINK("Gene2581-zp_tree_all.dnd", "Gene2581-tree")</f>
        <v>Gene2581-tree</v>
      </c>
      <c r="K599">
        <v>2</v>
      </c>
      <c r="L599">
        <v>3</v>
      </c>
      <c r="M599">
        <v>2</v>
      </c>
      <c r="N599">
        <v>2</v>
      </c>
      <c r="O599">
        <v>0.5</v>
      </c>
      <c r="P599" t="s">
        <v>124</v>
      </c>
      <c r="Q599" t="s">
        <v>185</v>
      </c>
      <c r="R599">
        <v>0.30599999999999999</v>
      </c>
      <c r="S599" t="s">
        <v>69</v>
      </c>
      <c r="T599">
        <v>2</v>
      </c>
      <c r="U599">
        <v>4</v>
      </c>
      <c r="V599">
        <v>1</v>
      </c>
      <c r="W599">
        <v>0.8</v>
      </c>
      <c r="X599">
        <v>0</v>
      </c>
      <c r="Y599">
        <v>0</v>
      </c>
      <c r="Z599">
        <v>0</v>
      </c>
      <c r="AA599">
        <v>2</v>
      </c>
      <c r="AB599">
        <v>0</v>
      </c>
      <c r="AC599">
        <v>0</v>
      </c>
      <c r="AD599">
        <v>0</v>
      </c>
      <c r="AE599">
        <v>0</v>
      </c>
      <c r="AF599">
        <v>3</v>
      </c>
      <c r="AG599">
        <v>0</v>
      </c>
      <c r="AH599">
        <v>4</v>
      </c>
      <c r="AI599">
        <v>1</v>
      </c>
      <c r="AJ599">
        <v>21</v>
      </c>
      <c r="AK599">
        <v>3</v>
      </c>
      <c r="AL599">
        <v>25</v>
      </c>
      <c r="AM599">
        <v>2</v>
      </c>
      <c r="AN599" t="s">
        <v>2556</v>
      </c>
      <c r="AO599" t="s">
        <v>2557</v>
      </c>
      <c r="AP599">
        <v>0.72199999999999998</v>
      </c>
      <c r="AQ599" t="s">
        <v>69</v>
      </c>
      <c r="AR599">
        <v>46</v>
      </c>
      <c r="AS599">
        <v>5</v>
      </c>
      <c r="AT599">
        <v>3.2480000000000002E-2</v>
      </c>
      <c r="AU599">
        <v>-5.6299999999999996E-3</v>
      </c>
      <c r="AV599">
        <v>0.15248</v>
      </c>
      <c r="AW599">
        <v>-2.8660000000000001E-2</v>
      </c>
      <c r="AX599">
        <v>3.5599999999999998E-3</v>
      </c>
      <c r="AY599">
        <v>-5.5999999999999995E-4</v>
      </c>
      <c r="AZ599">
        <v>2.333E-2</v>
      </c>
      <c r="BA599">
        <v>1</v>
      </c>
      <c r="BB599" t="s">
        <v>70</v>
      </c>
      <c r="BC599">
        <v>0.86</v>
      </c>
      <c r="BD599">
        <v>0.86</v>
      </c>
      <c r="BE599" t="s">
        <v>71</v>
      </c>
    </row>
    <row r="600" spans="1:57">
      <c r="A600">
        <v>2582</v>
      </c>
      <c r="B600" t="s">
        <v>2558</v>
      </c>
      <c r="D600" t="s">
        <v>66</v>
      </c>
      <c r="E600" t="s">
        <v>2559</v>
      </c>
      <c r="F600" t="s">
        <v>2560</v>
      </c>
      <c r="G600">
        <v>136</v>
      </c>
      <c r="H600" t="s">
        <v>63</v>
      </c>
      <c r="I600">
        <v>5</v>
      </c>
      <c r="J600" t="str">
        <f>HYPERLINK("Gene2582-zp_tree_all.dnd", "Gene2582-tree")</f>
        <v>Gene2582-tree</v>
      </c>
      <c r="K600">
        <v>5</v>
      </c>
      <c r="L600">
        <v>0</v>
      </c>
      <c r="M600">
        <v>5</v>
      </c>
      <c r="N600">
        <v>0</v>
      </c>
      <c r="O600">
        <v>0</v>
      </c>
      <c r="P600" t="s">
        <v>96</v>
      </c>
      <c r="Q600" t="s">
        <v>66</v>
      </c>
      <c r="R600" t="s">
        <v>66</v>
      </c>
      <c r="S600" t="s">
        <v>66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4</v>
      </c>
      <c r="AI600">
        <v>2</v>
      </c>
      <c r="AJ600">
        <v>8</v>
      </c>
      <c r="AK600">
        <v>0</v>
      </c>
      <c r="AL600">
        <v>6</v>
      </c>
      <c r="AM600">
        <v>1</v>
      </c>
      <c r="AN600" t="s">
        <v>68</v>
      </c>
      <c r="AO600" t="s">
        <v>2561</v>
      </c>
      <c r="AP600">
        <v>1.268</v>
      </c>
      <c r="AQ600" t="s">
        <v>69</v>
      </c>
      <c r="AR600">
        <v>14</v>
      </c>
      <c r="AS600">
        <v>1</v>
      </c>
      <c r="AT600">
        <v>1.7399999999999999E-2</v>
      </c>
      <c r="AU600">
        <v>-2.31E-3</v>
      </c>
      <c r="AV600">
        <v>7.3550000000000004E-2</v>
      </c>
      <c r="AW600">
        <v>-9.6600000000000002E-3</v>
      </c>
      <c r="AX600">
        <v>1.91E-3</v>
      </c>
      <c r="AY600">
        <v>-4.6000000000000001E-4</v>
      </c>
      <c r="AZ600">
        <v>2.5999999999999999E-2</v>
      </c>
      <c r="BA600">
        <v>1</v>
      </c>
      <c r="BB600" t="s">
        <v>70</v>
      </c>
      <c r="BC600">
        <v>0.41199999999999998</v>
      </c>
      <c r="BD600">
        <v>-0.13</v>
      </c>
      <c r="BE600" t="s">
        <v>71</v>
      </c>
    </row>
    <row r="601" spans="1:57">
      <c r="A601">
        <v>2586</v>
      </c>
      <c r="B601" t="s">
        <v>2562</v>
      </c>
      <c r="D601" t="s">
        <v>66</v>
      </c>
      <c r="E601" t="s">
        <v>2563</v>
      </c>
      <c r="F601" t="s">
        <v>2564</v>
      </c>
      <c r="G601">
        <v>319</v>
      </c>
      <c r="H601" t="s">
        <v>63</v>
      </c>
      <c r="I601">
        <v>5</v>
      </c>
      <c r="J601" t="str">
        <f>HYPERLINK("Gene2586-zp_tree_all.dnd", "Gene2586-tree")</f>
        <v>Gene2586-tree</v>
      </c>
      <c r="K601">
        <v>4</v>
      </c>
      <c r="L601">
        <v>1</v>
      </c>
      <c r="M601">
        <v>4</v>
      </c>
      <c r="N601">
        <v>1</v>
      </c>
      <c r="O601">
        <v>0.2</v>
      </c>
      <c r="P601" t="s">
        <v>64</v>
      </c>
      <c r="Q601" t="s">
        <v>65</v>
      </c>
      <c r="R601" t="s">
        <v>66</v>
      </c>
      <c r="S601" t="s">
        <v>66</v>
      </c>
      <c r="T601">
        <v>0</v>
      </c>
      <c r="U601">
        <v>0</v>
      </c>
      <c r="V601">
        <v>7</v>
      </c>
      <c r="W601">
        <v>0</v>
      </c>
      <c r="X601">
        <v>0</v>
      </c>
      <c r="Y601">
        <v>0</v>
      </c>
      <c r="Z601">
        <v>0</v>
      </c>
      <c r="AA601">
        <v>6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0</v>
      </c>
      <c r="AH601">
        <v>4</v>
      </c>
      <c r="AI601">
        <v>1</v>
      </c>
      <c r="AJ601">
        <v>13</v>
      </c>
      <c r="AK601">
        <v>1</v>
      </c>
      <c r="AL601">
        <v>9</v>
      </c>
      <c r="AM601">
        <v>6</v>
      </c>
      <c r="AN601" t="s">
        <v>2565</v>
      </c>
      <c r="AO601" t="s">
        <v>2566</v>
      </c>
      <c r="AP601">
        <v>4.1790000000000003</v>
      </c>
      <c r="AQ601" t="s">
        <v>69</v>
      </c>
      <c r="AR601">
        <v>22</v>
      </c>
      <c r="AS601">
        <v>7</v>
      </c>
      <c r="AT601">
        <v>1.5259999999999999E-2</v>
      </c>
      <c r="AU601">
        <v>-2.9499999999999999E-3</v>
      </c>
      <c r="AV601">
        <v>0.05</v>
      </c>
      <c r="AW601">
        <v>-9.5700000000000004E-3</v>
      </c>
      <c r="AX601">
        <v>5.47E-3</v>
      </c>
      <c r="AY601">
        <v>-1.1299999999999999E-3</v>
      </c>
      <c r="AZ601">
        <v>0.10943</v>
      </c>
      <c r="BA601">
        <v>1</v>
      </c>
      <c r="BB601" t="s">
        <v>70</v>
      </c>
      <c r="BC601">
        <v>0.36499999999999999</v>
      </c>
      <c r="BD601">
        <v>0.36499999999999999</v>
      </c>
      <c r="BE601" t="s">
        <v>71</v>
      </c>
    </row>
    <row r="602" spans="1:57">
      <c r="A602">
        <v>2587</v>
      </c>
      <c r="B602" t="s">
        <v>2567</v>
      </c>
      <c r="D602" t="s">
        <v>66</v>
      </c>
      <c r="E602" t="s">
        <v>2568</v>
      </c>
      <c r="F602" t="s">
        <v>74</v>
      </c>
      <c r="G602">
        <v>398</v>
      </c>
      <c r="H602" t="s">
        <v>63</v>
      </c>
      <c r="I602">
        <v>5</v>
      </c>
      <c r="J602" t="str">
        <f>HYPERLINK("Gene2587-zp_tree_all.dnd", "Gene2587-tree")</f>
        <v>Gene2587-tree</v>
      </c>
      <c r="K602">
        <v>2</v>
      </c>
      <c r="L602">
        <v>3</v>
      </c>
      <c r="M602">
        <v>2</v>
      </c>
      <c r="N602">
        <v>3</v>
      </c>
      <c r="O602">
        <v>0.6</v>
      </c>
      <c r="P602" t="s">
        <v>124</v>
      </c>
      <c r="Q602" t="s">
        <v>86</v>
      </c>
      <c r="R602" t="s">
        <v>66</v>
      </c>
      <c r="S602" t="s">
        <v>66</v>
      </c>
      <c r="T602">
        <v>0</v>
      </c>
      <c r="U602">
        <v>0</v>
      </c>
      <c r="V602">
        <v>14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14</v>
      </c>
      <c r="AG602">
        <v>0</v>
      </c>
      <c r="AH602">
        <v>5</v>
      </c>
      <c r="AI602">
        <v>2</v>
      </c>
      <c r="AJ602">
        <v>32</v>
      </c>
      <c r="AK602">
        <v>6</v>
      </c>
      <c r="AL602">
        <v>23</v>
      </c>
      <c r="AM602">
        <v>8</v>
      </c>
      <c r="AN602" t="s">
        <v>2569</v>
      </c>
      <c r="AO602" t="s">
        <v>2570</v>
      </c>
      <c r="AP602">
        <v>0.42899999999999999</v>
      </c>
      <c r="AQ602" t="s">
        <v>69</v>
      </c>
      <c r="AR602">
        <v>55</v>
      </c>
      <c r="AS602">
        <v>14</v>
      </c>
      <c r="AT602">
        <v>2.6880000000000001E-2</v>
      </c>
      <c r="AU602">
        <v>-3.8899999999999998E-3</v>
      </c>
      <c r="AV602">
        <v>0.10518</v>
      </c>
      <c r="AW602">
        <v>-1.4E-2</v>
      </c>
      <c r="AX602">
        <v>7.7400000000000004E-3</v>
      </c>
      <c r="AY602">
        <v>-1.6199999999999999E-3</v>
      </c>
      <c r="AZ602">
        <v>7.3580000000000007E-2</v>
      </c>
      <c r="BA602">
        <v>1</v>
      </c>
      <c r="BB602" t="s">
        <v>70</v>
      </c>
      <c r="BC602">
        <v>0.46500000000000002</v>
      </c>
      <c r="BD602">
        <v>0.09</v>
      </c>
      <c r="BE602" t="s">
        <v>71</v>
      </c>
    </row>
    <row r="603" spans="1:57">
      <c r="A603">
        <v>2588</v>
      </c>
      <c r="B603" t="s">
        <v>2571</v>
      </c>
      <c r="D603" t="s">
        <v>66</v>
      </c>
      <c r="E603" t="s">
        <v>2572</v>
      </c>
      <c r="F603" t="s">
        <v>74</v>
      </c>
      <c r="G603">
        <v>93</v>
      </c>
      <c r="H603" t="s">
        <v>63</v>
      </c>
      <c r="I603">
        <v>5</v>
      </c>
      <c r="J603" t="str">
        <f>HYPERLINK("Gene2588-zp_tree_all.dnd", "Gene2588-tree")</f>
        <v>Gene2588-tree</v>
      </c>
      <c r="K603">
        <v>5</v>
      </c>
      <c r="L603">
        <v>0</v>
      </c>
      <c r="M603">
        <v>4</v>
      </c>
      <c r="N603">
        <v>0</v>
      </c>
      <c r="O603">
        <v>0</v>
      </c>
      <c r="P603" t="s">
        <v>135</v>
      </c>
      <c r="Q603" t="s">
        <v>66</v>
      </c>
      <c r="R603" t="s">
        <v>66</v>
      </c>
      <c r="S603" t="s">
        <v>66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4</v>
      </c>
      <c r="AI603">
        <v>1</v>
      </c>
      <c r="AJ603">
        <v>9</v>
      </c>
      <c r="AK603">
        <v>0</v>
      </c>
      <c r="AL603">
        <v>3</v>
      </c>
      <c r="AM603">
        <v>0</v>
      </c>
      <c r="AN603" t="s">
        <v>68</v>
      </c>
      <c r="AO603" t="s">
        <v>68</v>
      </c>
      <c r="AP603">
        <v>0</v>
      </c>
      <c r="AQ603" t="s">
        <v>69</v>
      </c>
      <c r="AR603">
        <v>12</v>
      </c>
      <c r="AS603">
        <v>0</v>
      </c>
      <c r="AT603">
        <v>2.3300000000000001E-2</v>
      </c>
      <c r="AU603">
        <v>-3.46E-3</v>
      </c>
      <c r="AV603">
        <v>0.11157</v>
      </c>
      <c r="AW603">
        <v>-1.7809999999999999E-2</v>
      </c>
      <c r="AX603">
        <v>7.6999999999999996E-4</v>
      </c>
      <c r="AY603">
        <v>-6.9999999999999999E-4</v>
      </c>
      <c r="AZ603">
        <v>6.8999999999999999E-3</v>
      </c>
      <c r="BA603">
        <v>1</v>
      </c>
      <c r="BB603" t="s">
        <v>70</v>
      </c>
      <c r="BC603">
        <v>-0.20100000000000001</v>
      </c>
      <c r="BD603">
        <v>-0.20100000000000001</v>
      </c>
      <c r="BE603" t="s">
        <v>71</v>
      </c>
    </row>
    <row r="604" spans="1:57">
      <c r="A604">
        <v>2596</v>
      </c>
      <c r="B604" t="s">
        <v>2578</v>
      </c>
      <c r="D604" t="s">
        <v>66</v>
      </c>
      <c r="E604" t="s">
        <v>2579</v>
      </c>
      <c r="F604" t="s">
        <v>2580</v>
      </c>
      <c r="G604">
        <v>256</v>
      </c>
      <c r="H604" t="s">
        <v>63</v>
      </c>
      <c r="I604">
        <v>5</v>
      </c>
      <c r="J604" t="str">
        <f>HYPERLINK("Gene2596-zp_tree_all.dnd", "Gene2596-tree")</f>
        <v>Gene2596-tree</v>
      </c>
      <c r="K604">
        <v>2</v>
      </c>
      <c r="L604">
        <v>3</v>
      </c>
      <c r="M604">
        <v>2</v>
      </c>
      <c r="N604">
        <v>3</v>
      </c>
      <c r="O604">
        <v>0.6</v>
      </c>
      <c r="P604" t="s">
        <v>124</v>
      </c>
      <c r="Q604" t="s">
        <v>86</v>
      </c>
      <c r="R604" t="s">
        <v>66</v>
      </c>
      <c r="S604" t="s">
        <v>66</v>
      </c>
      <c r="T604">
        <v>0</v>
      </c>
      <c r="U604">
        <v>0</v>
      </c>
      <c r="V604">
        <v>18</v>
      </c>
      <c r="W604">
        <v>0</v>
      </c>
      <c r="X604">
        <v>0</v>
      </c>
      <c r="Y604">
        <v>0</v>
      </c>
      <c r="Z604">
        <v>0</v>
      </c>
      <c r="AA604">
        <v>12</v>
      </c>
      <c r="AB604">
        <v>0</v>
      </c>
      <c r="AC604">
        <v>0</v>
      </c>
      <c r="AD604">
        <v>0</v>
      </c>
      <c r="AE604">
        <v>0</v>
      </c>
      <c r="AF604">
        <v>6</v>
      </c>
      <c r="AG604">
        <v>0</v>
      </c>
      <c r="AH604">
        <v>5</v>
      </c>
      <c r="AI604">
        <v>2</v>
      </c>
      <c r="AJ604">
        <v>15</v>
      </c>
      <c r="AK604">
        <v>6</v>
      </c>
      <c r="AL604">
        <v>12</v>
      </c>
      <c r="AM604">
        <v>12</v>
      </c>
      <c r="AN604" t="s">
        <v>2581</v>
      </c>
      <c r="AO604" t="s">
        <v>2582</v>
      </c>
      <c r="AP604">
        <v>0.48299999999999998</v>
      </c>
      <c r="AQ604" t="s">
        <v>69</v>
      </c>
      <c r="AR604">
        <v>27</v>
      </c>
      <c r="AS604">
        <v>18</v>
      </c>
      <c r="AT604">
        <v>2.9690000000000001E-2</v>
      </c>
      <c r="AU604">
        <v>-5.0699999999999999E-3</v>
      </c>
      <c r="AV604">
        <v>8.3690000000000001E-2</v>
      </c>
      <c r="AW604">
        <v>-1.397E-2</v>
      </c>
      <c r="AX604">
        <v>1.627E-2</v>
      </c>
      <c r="AY604">
        <v>-3.13E-3</v>
      </c>
      <c r="AZ604">
        <v>0.19442000000000001</v>
      </c>
      <c r="BA604">
        <v>1</v>
      </c>
      <c r="BB604" t="s">
        <v>70</v>
      </c>
      <c r="BC604">
        <v>0.41899999999999998</v>
      </c>
      <c r="BD604">
        <v>0.41899999999999998</v>
      </c>
      <c r="BE604" t="s">
        <v>71</v>
      </c>
    </row>
    <row r="605" spans="1:57">
      <c r="A605">
        <v>2597</v>
      </c>
      <c r="B605" t="s">
        <v>2583</v>
      </c>
      <c r="D605" t="s">
        <v>66</v>
      </c>
      <c r="E605" t="s">
        <v>2584</v>
      </c>
      <c r="F605" t="s">
        <v>2585</v>
      </c>
      <c r="G605">
        <v>311</v>
      </c>
      <c r="H605" t="s">
        <v>85</v>
      </c>
      <c r="I605">
        <v>4</v>
      </c>
      <c r="J605" t="str">
        <f>HYPERLINK("Gene2597-zp_tree_all.dnd", "Gene2597-tree")</f>
        <v>Gene2597-tree</v>
      </c>
      <c r="K605">
        <v>3</v>
      </c>
      <c r="L605">
        <v>1</v>
      </c>
      <c r="M605">
        <v>3</v>
      </c>
      <c r="N605">
        <v>1</v>
      </c>
      <c r="O605">
        <v>0.25</v>
      </c>
      <c r="P605" t="s">
        <v>86</v>
      </c>
      <c r="Q605" t="s">
        <v>65</v>
      </c>
      <c r="R605" t="s">
        <v>66</v>
      </c>
      <c r="S605" t="s">
        <v>66</v>
      </c>
      <c r="T605">
        <v>0</v>
      </c>
      <c r="U605">
        <v>0</v>
      </c>
      <c r="V605">
        <v>3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3</v>
      </c>
      <c r="AG605">
        <v>0</v>
      </c>
      <c r="AH605">
        <v>4</v>
      </c>
      <c r="AI605">
        <v>1</v>
      </c>
      <c r="AJ605">
        <v>38</v>
      </c>
      <c r="AK605">
        <v>3</v>
      </c>
      <c r="AL605">
        <v>1</v>
      </c>
      <c r="AM605">
        <v>0</v>
      </c>
      <c r="AN605" t="s">
        <v>2586</v>
      </c>
      <c r="AO605" t="s">
        <v>68</v>
      </c>
      <c r="AP605">
        <v>0.39100000000000001</v>
      </c>
      <c r="AQ605" t="s">
        <v>69</v>
      </c>
      <c r="AR605">
        <v>39</v>
      </c>
      <c r="AS605">
        <v>3</v>
      </c>
      <c r="AT605">
        <v>2.2689999999999998E-2</v>
      </c>
      <c r="AU605">
        <v>-7.5199999999999998E-3</v>
      </c>
      <c r="AV605">
        <v>0.10441</v>
      </c>
      <c r="AW605">
        <v>-3.4810000000000001E-2</v>
      </c>
      <c r="AX605">
        <v>2.0799999999999998E-3</v>
      </c>
      <c r="AY605">
        <v>-8.4999999999999995E-4</v>
      </c>
      <c r="AZ605">
        <v>1.9949999999999999E-2</v>
      </c>
      <c r="BA605">
        <v>1</v>
      </c>
      <c r="BB605" t="s">
        <v>70</v>
      </c>
      <c r="BC605">
        <v>-0.79</v>
      </c>
      <c r="BD605">
        <v>-0.79</v>
      </c>
      <c r="BE605" t="s">
        <v>71</v>
      </c>
    </row>
    <row r="606" spans="1:57">
      <c r="A606">
        <v>2598</v>
      </c>
      <c r="B606" t="s">
        <v>2587</v>
      </c>
      <c r="D606" t="s">
        <v>66</v>
      </c>
      <c r="E606" t="s">
        <v>2588</v>
      </c>
      <c r="F606" t="s">
        <v>2589</v>
      </c>
      <c r="G606">
        <v>375</v>
      </c>
      <c r="H606" t="s">
        <v>85</v>
      </c>
      <c r="I606">
        <v>4</v>
      </c>
      <c r="J606" t="str">
        <f>HYPERLINK("Gene2598-zp_tree_all.dnd", "Gene2598-tree")</f>
        <v>Gene2598-tree</v>
      </c>
      <c r="K606">
        <v>3</v>
      </c>
      <c r="L606">
        <v>1</v>
      </c>
      <c r="M606">
        <v>3</v>
      </c>
      <c r="N606">
        <v>1</v>
      </c>
      <c r="O606">
        <v>0.25</v>
      </c>
      <c r="P606" t="s">
        <v>86</v>
      </c>
      <c r="Q606" t="s">
        <v>65</v>
      </c>
      <c r="R606" t="s">
        <v>66</v>
      </c>
      <c r="S606" t="s">
        <v>66</v>
      </c>
      <c r="T606">
        <v>0</v>
      </c>
      <c r="U606">
        <v>0</v>
      </c>
      <c r="V606">
        <v>4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4</v>
      </c>
      <c r="AG606">
        <v>0</v>
      </c>
      <c r="AH606">
        <v>4</v>
      </c>
      <c r="AI606">
        <v>1</v>
      </c>
      <c r="AJ606">
        <v>53</v>
      </c>
      <c r="AK606">
        <v>4</v>
      </c>
      <c r="AL606">
        <v>5</v>
      </c>
      <c r="AM606">
        <v>0</v>
      </c>
      <c r="AN606" t="s">
        <v>2590</v>
      </c>
      <c r="AO606" t="s">
        <v>68</v>
      </c>
      <c r="AP606">
        <v>0.40799999999999997</v>
      </c>
      <c r="AQ606" t="s">
        <v>69</v>
      </c>
      <c r="AR606">
        <v>58</v>
      </c>
      <c r="AS606">
        <v>4</v>
      </c>
      <c r="AT606">
        <v>2.7109999999999999E-2</v>
      </c>
      <c r="AU606">
        <v>-8.09E-3</v>
      </c>
      <c r="AV606">
        <v>0.12848000000000001</v>
      </c>
      <c r="AW606">
        <v>-3.884E-2</v>
      </c>
      <c r="AX606">
        <v>2.3E-3</v>
      </c>
      <c r="AY606">
        <v>-9.3999999999999997E-4</v>
      </c>
      <c r="AZ606">
        <v>1.789E-2</v>
      </c>
      <c r="BA606">
        <v>1</v>
      </c>
      <c r="BB606" t="s">
        <v>70</v>
      </c>
      <c r="BC606">
        <v>-0.374</v>
      </c>
      <c r="BD606">
        <v>-0.70399999999999996</v>
      </c>
      <c r="BE606" t="s">
        <v>71</v>
      </c>
    </row>
    <row r="607" spans="1:57">
      <c r="A607">
        <v>2598</v>
      </c>
      <c r="B607" t="s">
        <v>2587</v>
      </c>
      <c r="D607" t="s">
        <v>66</v>
      </c>
      <c r="E607" t="s">
        <v>2588</v>
      </c>
      <c r="F607" t="s">
        <v>2589</v>
      </c>
      <c r="G607">
        <v>375</v>
      </c>
      <c r="H607" t="s">
        <v>85</v>
      </c>
      <c r="I607">
        <v>4</v>
      </c>
      <c r="J607" t="str">
        <f>HYPERLINK("Gene2598-zp_tree_all.dnd", "Gene2598-tree")</f>
        <v>Gene2598-tree</v>
      </c>
      <c r="K607">
        <v>3</v>
      </c>
      <c r="L607">
        <v>1</v>
      </c>
      <c r="M607">
        <v>3</v>
      </c>
      <c r="N607">
        <v>1</v>
      </c>
      <c r="O607">
        <v>0.25</v>
      </c>
      <c r="P607" t="s">
        <v>86</v>
      </c>
      <c r="Q607" t="s">
        <v>65</v>
      </c>
      <c r="R607" t="s">
        <v>66</v>
      </c>
      <c r="S607" t="s">
        <v>66</v>
      </c>
      <c r="T607">
        <v>0</v>
      </c>
      <c r="U607">
        <v>0</v>
      </c>
      <c r="V607">
        <v>4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4</v>
      </c>
      <c r="AG607">
        <v>0</v>
      </c>
      <c r="AH607">
        <v>4</v>
      </c>
      <c r="AI607">
        <v>1</v>
      </c>
      <c r="AJ607">
        <v>53</v>
      </c>
      <c r="AK607">
        <v>4</v>
      </c>
      <c r="AL607">
        <v>5</v>
      </c>
      <c r="AM607">
        <v>0</v>
      </c>
      <c r="AN607" t="s">
        <v>2590</v>
      </c>
      <c r="AO607" t="s">
        <v>68</v>
      </c>
      <c r="AP607">
        <v>0.40799999999999997</v>
      </c>
      <c r="AQ607" t="s">
        <v>69</v>
      </c>
      <c r="AR607">
        <v>58</v>
      </c>
      <c r="AS607">
        <v>4</v>
      </c>
      <c r="AT607">
        <v>2.7109999999999999E-2</v>
      </c>
      <c r="AU607">
        <v>-8.09E-3</v>
      </c>
      <c r="AV607">
        <v>0.12848000000000001</v>
      </c>
      <c r="AW607">
        <v>-3.884E-2</v>
      </c>
      <c r="AX607">
        <v>2.3E-3</v>
      </c>
      <c r="AY607">
        <v>-9.3999999999999997E-4</v>
      </c>
      <c r="AZ607">
        <v>1.789E-2</v>
      </c>
      <c r="BA607">
        <v>1</v>
      </c>
      <c r="BB607" t="s">
        <v>70</v>
      </c>
      <c r="BC607">
        <v>-0.374</v>
      </c>
      <c r="BD607">
        <v>-0.70399999999999996</v>
      </c>
      <c r="BE607" t="s">
        <v>71</v>
      </c>
    </row>
    <row r="608" spans="1:57">
      <c r="A608">
        <v>2599</v>
      </c>
      <c r="B608" t="s">
        <v>2591</v>
      </c>
      <c r="D608" t="s">
        <v>66</v>
      </c>
      <c r="E608" t="s">
        <v>2592</v>
      </c>
      <c r="F608" t="s">
        <v>2593</v>
      </c>
      <c r="G608">
        <v>611</v>
      </c>
      <c r="H608" t="s">
        <v>63</v>
      </c>
      <c r="I608">
        <v>5</v>
      </c>
      <c r="J608" t="str">
        <f>HYPERLINK("Gene2599-zp_tree_all.dnd", "Gene2599-tree")</f>
        <v>Gene2599-tree</v>
      </c>
      <c r="K608">
        <v>4</v>
      </c>
      <c r="L608">
        <v>1</v>
      </c>
      <c r="M608">
        <v>4</v>
      </c>
      <c r="N608">
        <v>1</v>
      </c>
      <c r="O608">
        <v>0.2</v>
      </c>
      <c r="P608" t="s">
        <v>64</v>
      </c>
      <c r="Q608" t="s">
        <v>65</v>
      </c>
      <c r="R608" t="s">
        <v>66</v>
      </c>
      <c r="S608" t="s">
        <v>66</v>
      </c>
      <c r="T608">
        <v>0</v>
      </c>
      <c r="U608">
        <v>0</v>
      </c>
      <c r="V608">
        <v>4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</v>
      </c>
      <c r="AH608">
        <v>4</v>
      </c>
      <c r="AI608">
        <v>2</v>
      </c>
      <c r="AJ608">
        <v>53</v>
      </c>
      <c r="AK608">
        <v>1</v>
      </c>
      <c r="AL608">
        <v>28</v>
      </c>
      <c r="AM608">
        <v>3</v>
      </c>
      <c r="AN608" t="s">
        <v>2594</v>
      </c>
      <c r="AO608" t="s">
        <v>2595</v>
      </c>
      <c r="AP608">
        <v>1.8380000000000001</v>
      </c>
      <c r="AQ608" t="s">
        <v>69</v>
      </c>
      <c r="AR608">
        <v>81</v>
      </c>
      <c r="AS608">
        <v>4</v>
      </c>
      <c r="AT608">
        <v>2.171E-2</v>
      </c>
      <c r="AU608">
        <v>-3.5100000000000001E-3</v>
      </c>
      <c r="AV608">
        <v>9.5350000000000004E-2</v>
      </c>
      <c r="AW608">
        <v>-1.5779999999999999E-2</v>
      </c>
      <c r="AX608">
        <v>1.57E-3</v>
      </c>
      <c r="AY608">
        <v>-2.9999999999999997E-4</v>
      </c>
      <c r="AZ608">
        <v>1.643E-2</v>
      </c>
      <c r="BA608">
        <v>1</v>
      </c>
      <c r="BB608" t="s">
        <v>70</v>
      </c>
      <c r="BC608">
        <v>-8.0000000000000002E-3</v>
      </c>
      <c r="BD608">
        <v>-0.19800000000000001</v>
      </c>
      <c r="BE608" t="s">
        <v>71</v>
      </c>
    </row>
    <row r="609" spans="1:57">
      <c r="A609">
        <v>2599</v>
      </c>
      <c r="B609" t="s">
        <v>2591</v>
      </c>
      <c r="D609" t="s">
        <v>66</v>
      </c>
      <c r="E609" t="s">
        <v>2592</v>
      </c>
      <c r="F609" t="s">
        <v>2593</v>
      </c>
      <c r="G609">
        <v>611</v>
      </c>
      <c r="H609" t="s">
        <v>63</v>
      </c>
      <c r="I609">
        <v>5</v>
      </c>
      <c r="J609" t="str">
        <f>HYPERLINK("Gene2599-zp_tree_all.dnd", "Gene2599-tree")</f>
        <v>Gene2599-tree</v>
      </c>
      <c r="K609">
        <v>4</v>
      </c>
      <c r="L609">
        <v>1</v>
      </c>
      <c r="M609">
        <v>4</v>
      </c>
      <c r="N609">
        <v>1</v>
      </c>
      <c r="O609">
        <v>0.2</v>
      </c>
      <c r="P609" t="s">
        <v>64</v>
      </c>
      <c r="Q609" t="s">
        <v>65</v>
      </c>
      <c r="R609" t="s">
        <v>66</v>
      </c>
      <c r="S609" t="s">
        <v>66</v>
      </c>
      <c r="T609">
        <v>0</v>
      </c>
      <c r="U609">
        <v>0</v>
      </c>
      <c r="V609">
        <v>4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0</v>
      </c>
      <c r="AC609">
        <v>0</v>
      </c>
      <c r="AD609">
        <v>0</v>
      </c>
      <c r="AE609">
        <v>0</v>
      </c>
      <c r="AF609">
        <v>1</v>
      </c>
      <c r="AG609">
        <v>0</v>
      </c>
      <c r="AH609">
        <v>4</v>
      </c>
      <c r="AI609">
        <v>2</v>
      </c>
      <c r="AJ609">
        <v>53</v>
      </c>
      <c r="AK609">
        <v>1</v>
      </c>
      <c r="AL609">
        <v>28</v>
      </c>
      <c r="AM609">
        <v>3</v>
      </c>
      <c r="AN609" t="s">
        <v>2594</v>
      </c>
      <c r="AO609" t="s">
        <v>2595</v>
      </c>
      <c r="AP609">
        <v>1.8380000000000001</v>
      </c>
      <c r="AQ609" t="s">
        <v>69</v>
      </c>
      <c r="AR609">
        <v>81</v>
      </c>
      <c r="AS609">
        <v>4</v>
      </c>
      <c r="AT609">
        <v>2.171E-2</v>
      </c>
      <c r="AU609">
        <v>-3.5100000000000001E-3</v>
      </c>
      <c r="AV609">
        <v>9.5350000000000004E-2</v>
      </c>
      <c r="AW609">
        <v>-1.5779999999999999E-2</v>
      </c>
      <c r="AX609">
        <v>1.57E-3</v>
      </c>
      <c r="AY609">
        <v>-2.9999999999999997E-4</v>
      </c>
      <c r="AZ609">
        <v>1.643E-2</v>
      </c>
      <c r="BA609">
        <v>1</v>
      </c>
      <c r="BB609" t="s">
        <v>70</v>
      </c>
      <c r="BC609">
        <v>-8.0000000000000002E-3</v>
      </c>
      <c r="BD609">
        <v>-0.19800000000000001</v>
      </c>
      <c r="BE609" t="s">
        <v>71</v>
      </c>
    </row>
    <row r="610" spans="1:57">
      <c r="A610">
        <v>2599</v>
      </c>
      <c r="B610" t="s">
        <v>2591</v>
      </c>
      <c r="D610" t="s">
        <v>66</v>
      </c>
      <c r="E610" t="s">
        <v>2592</v>
      </c>
      <c r="F610" t="s">
        <v>2593</v>
      </c>
      <c r="G610">
        <v>611</v>
      </c>
      <c r="H610" t="s">
        <v>63</v>
      </c>
      <c r="I610">
        <v>5</v>
      </c>
      <c r="J610" t="str">
        <f>HYPERLINK("Gene2599-zp_tree_all.dnd", "Gene2599-tree")</f>
        <v>Gene2599-tree</v>
      </c>
      <c r="K610">
        <v>4</v>
      </c>
      <c r="L610">
        <v>1</v>
      </c>
      <c r="M610">
        <v>4</v>
      </c>
      <c r="N610">
        <v>1</v>
      </c>
      <c r="O610">
        <v>0.2</v>
      </c>
      <c r="P610" t="s">
        <v>64</v>
      </c>
      <c r="Q610" t="s">
        <v>65</v>
      </c>
      <c r="R610" t="s">
        <v>66</v>
      </c>
      <c r="S610" t="s">
        <v>66</v>
      </c>
      <c r="T610">
        <v>0</v>
      </c>
      <c r="U610">
        <v>0</v>
      </c>
      <c r="V610">
        <v>4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0</v>
      </c>
      <c r="AC610">
        <v>0</v>
      </c>
      <c r="AD610">
        <v>0</v>
      </c>
      <c r="AE610">
        <v>0</v>
      </c>
      <c r="AF610">
        <v>1</v>
      </c>
      <c r="AG610">
        <v>0</v>
      </c>
      <c r="AH610">
        <v>4</v>
      </c>
      <c r="AI610">
        <v>2</v>
      </c>
      <c r="AJ610">
        <v>53</v>
      </c>
      <c r="AK610">
        <v>1</v>
      </c>
      <c r="AL610">
        <v>28</v>
      </c>
      <c r="AM610">
        <v>3</v>
      </c>
      <c r="AN610" t="s">
        <v>2594</v>
      </c>
      <c r="AO610" t="s">
        <v>2595</v>
      </c>
      <c r="AP610">
        <v>1.8380000000000001</v>
      </c>
      <c r="AQ610" t="s">
        <v>69</v>
      </c>
      <c r="AR610">
        <v>81</v>
      </c>
      <c r="AS610">
        <v>4</v>
      </c>
      <c r="AT610">
        <v>2.171E-2</v>
      </c>
      <c r="AU610">
        <v>-3.5100000000000001E-3</v>
      </c>
      <c r="AV610">
        <v>9.5350000000000004E-2</v>
      </c>
      <c r="AW610">
        <v>-1.5779999999999999E-2</v>
      </c>
      <c r="AX610">
        <v>1.57E-3</v>
      </c>
      <c r="AY610">
        <v>-2.9999999999999997E-4</v>
      </c>
      <c r="AZ610">
        <v>1.643E-2</v>
      </c>
      <c r="BA610">
        <v>1</v>
      </c>
      <c r="BB610" t="s">
        <v>70</v>
      </c>
      <c r="BC610">
        <v>-8.0000000000000002E-3</v>
      </c>
      <c r="BD610">
        <v>-0.19800000000000001</v>
      </c>
      <c r="BE610" t="s">
        <v>71</v>
      </c>
    </row>
    <row r="611" spans="1:57">
      <c r="A611">
        <v>2600</v>
      </c>
      <c r="B611" t="s">
        <v>2596</v>
      </c>
      <c r="D611" t="s">
        <v>66</v>
      </c>
      <c r="E611" t="s">
        <v>2597</v>
      </c>
      <c r="F611" t="s">
        <v>2598</v>
      </c>
      <c r="G611">
        <v>187</v>
      </c>
      <c r="H611" t="s">
        <v>63</v>
      </c>
      <c r="I611">
        <v>5</v>
      </c>
      <c r="J611" t="str">
        <f>HYPERLINK("Gene2600-zp_tree_all.dnd", "Gene2600-tree")</f>
        <v>Gene2600-tree</v>
      </c>
      <c r="K611">
        <v>3</v>
      </c>
      <c r="L611">
        <v>2</v>
      </c>
      <c r="M611">
        <v>3</v>
      </c>
      <c r="N611">
        <v>2</v>
      </c>
      <c r="O611">
        <v>0.4</v>
      </c>
      <c r="P611" t="s">
        <v>86</v>
      </c>
      <c r="Q611" t="s">
        <v>124</v>
      </c>
      <c r="R611" t="s">
        <v>66</v>
      </c>
      <c r="S611" t="s">
        <v>66</v>
      </c>
      <c r="T611">
        <v>1</v>
      </c>
      <c r="U611">
        <v>2</v>
      </c>
      <c r="V611">
        <v>4</v>
      </c>
      <c r="W611">
        <v>0.33333000000000002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2</v>
      </c>
      <c r="AE611">
        <v>2</v>
      </c>
      <c r="AF611">
        <v>4</v>
      </c>
      <c r="AG611">
        <v>0.33333000000000002</v>
      </c>
      <c r="AH611">
        <v>5</v>
      </c>
      <c r="AI611">
        <v>1</v>
      </c>
      <c r="AJ611">
        <v>24</v>
      </c>
      <c r="AK611">
        <v>4</v>
      </c>
      <c r="AL611">
        <v>7</v>
      </c>
      <c r="AM611">
        <v>2</v>
      </c>
      <c r="AN611" t="s">
        <v>2599</v>
      </c>
      <c r="AO611" t="s">
        <v>2600</v>
      </c>
      <c r="AP611">
        <v>0.68700000000000006</v>
      </c>
      <c r="AQ611" t="s">
        <v>69</v>
      </c>
      <c r="AR611">
        <v>31</v>
      </c>
      <c r="AS611">
        <v>6</v>
      </c>
      <c r="AT611">
        <v>2.8160000000000001E-2</v>
      </c>
      <c r="AU611">
        <v>-4.9800000000000001E-3</v>
      </c>
      <c r="AV611">
        <v>0.12975</v>
      </c>
      <c r="AW611">
        <v>-2.4490000000000001E-2</v>
      </c>
      <c r="AX611">
        <v>6.28E-3</v>
      </c>
      <c r="AY611">
        <v>-1.2999999999999999E-3</v>
      </c>
      <c r="AZ611">
        <v>4.8379999999999999E-2</v>
      </c>
      <c r="BA611">
        <v>1</v>
      </c>
      <c r="BB611" t="s">
        <v>70</v>
      </c>
      <c r="BC611">
        <v>-0.23899999999999999</v>
      </c>
      <c r="BD611">
        <v>-0.69799999999999995</v>
      </c>
      <c r="BE611" t="s">
        <v>71</v>
      </c>
    </row>
    <row r="612" spans="1:57">
      <c r="A612">
        <v>2601</v>
      </c>
      <c r="B612" t="s">
        <v>2601</v>
      </c>
      <c r="D612" t="s">
        <v>66</v>
      </c>
      <c r="E612" t="s">
        <v>2602</v>
      </c>
      <c r="F612" t="s">
        <v>2603</v>
      </c>
      <c r="G612">
        <v>343</v>
      </c>
      <c r="H612" t="s">
        <v>63</v>
      </c>
      <c r="I612">
        <v>5</v>
      </c>
      <c r="J612" t="str">
        <f>HYPERLINK("Gene2601-zp_tree_all.dnd", "Gene2601-tree")</f>
        <v>Gene2601-tree</v>
      </c>
      <c r="K612">
        <v>4</v>
      </c>
      <c r="L612">
        <v>1</v>
      </c>
      <c r="M612">
        <v>4</v>
      </c>
      <c r="N612">
        <v>1</v>
      </c>
      <c r="O612">
        <v>0.2</v>
      </c>
      <c r="P612" t="s">
        <v>64</v>
      </c>
      <c r="Q612" t="s">
        <v>65</v>
      </c>
      <c r="R612" t="s">
        <v>66</v>
      </c>
      <c r="S612" t="s">
        <v>66</v>
      </c>
      <c r="T612">
        <v>0</v>
      </c>
      <c r="U612">
        <v>0</v>
      </c>
      <c r="V612">
        <v>2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1</v>
      </c>
      <c r="AG612">
        <v>0</v>
      </c>
      <c r="AH612">
        <v>5</v>
      </c>
      <c r="AI612">
        <v>2</v>
      </c>
      <c r="AJ612">
        <v>30</v>
      </c>
      <c r="AK612">
        <v>1</v>
      </c>
      <c r="AL612">
        <v>31</v>
      </c>
      <c r="AM612">
        <v>1</v>
      </c>
      <c r="AN612" t="s">
        <v>2604</v>
      </c>
      <c r="AO612" t="s">
        <v>2605</v>
      </c>
      <c r="AP612">
        <v>0.04</v>
      </c>
      <c r="AQ612" t="s">
        <v>69</v>
      </c>
      <c r="AR612">
        <v>61</v>
      </c>
      <c r="AS612">
        <v>2</v>
      </c>
      <c r="AT612">
        <v>3.022E-2</v>
      </c>
      <c r="AU612">
        <v>-4.9300000000000004E-3</v>
      </c>
      <c r="AV612">
        <v>0.14601</v>
      </c>
      <c r="AW612">
        <v>-2.4879999999999999E-2</v>
      </c>
      <c r="AX612">
        <v>1.2600000000000001E-3</v>
      </c>
      <c r="AY612">
        <v>-3.1E-4</v>
      </c>
      <c r="AZ612">
        <v>8.6199999999999992E-3</v>
      </c>
      <c r="BA612">
        <v>1</v>
      </c>
      <c r="BB612" t="s">
        <v>70</v>
      </c>
      <c r="BC612">
        <v>0.60399999999999998</v>
      </c>
      <c r="BD612">
        <v>0.47299999999999998</v>
      </c>
      <c r="BE612" t="s">
        <v>71</v>
      </c>
    </row>
    <row r="613" spans="1:57">
      <c r="A613">
        <v>2608</v>
      </c>
      <c r="B613" t="s">
        <v>2609</v>
      </c>
      <c r="D613" t="s">
        <v>66</v>
      </c>
      <c r="E613" t="s">
        <v>2610</v>
      </c>
      <c r="F613" t="s">
        <v>74</v>
      </c>
      <c r="G613">
        <v>347</v>
      </c>
      <c r="H613" t="s">
        <v>63</v>
      </c>
      <c r="I613">
        <v>5</v>
      </c>
      <c r="J613" t="str">
        <f>HYPERLINK("Gene2608-zp_tree_all.dnd", "Gene2608-tree")</f>
        <v>Gene2608-tree</v>
      </c>
      <c r="K613">
        <v>1</v>
      </c>
      <c r="L613">
        <v>4</v>
      </c>
      <c r="M613">
        <v>1</v>
      </c>
      <c r="N613">
        <v>4</v>
      </c>
      <c r="O613">
        <v>0.8</v>
      </c>
      <c r="P613" t="s">
        <v>65</v>
      </c>
      <c r="Q613" t="s">
        <v>64</v>
      </c>
      <c r="R613" t="s">
        <v>66</v>
      </c>
      <c r="S613" t="s">
        <v>66</v>
      </c>
      <c r="T613">
        <v>1</v>
      </c>
      <c r="U613">
        <v>2</v>
      </c>
      <c r="V613">
        <v>8</v>
      </c>
      <c r="W613">
        <v>0.2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2</v>
      </c>
      <c r="AE613">
        <v>2</v>
      </c>
      <c r="AF613">
        <v>8</v>
      </c>
      <c r="AG613">
        <v>0.2</v>
      </c>
      <c r="AH613">
        <v>5</v>
      </c>
      <c r="AI613">
        <v>2</v>
      </c>
      <c r="AJ613">
        <v>46</v>
      </c>
      <c r="AK613">
        <v>6</v>
      </c>
      <c r="AL613">
        <v>28</v>
      </c>
      <c r="AM613">
        <v>4</v>
      </c>
      <c r="AN613" t="s">
        <v>2611</v>
      </c>
      <c r="AO613" t="s">
        <v>2612</v>
      </c>
      <c r="AP613">
        <v>9.5000000000000001E-2</v>
      </c>
      <c r="AQ613" t="s">
        <v>69</v>
      </c>
      <c r="AR613">
        <v>74</v>
      </c>
      <c r="AS613">
        <v>10</v>
      </c>
      <c r="AT613">
        <v>3.5929999999999997E-2</v>
      </c>
      <c r="AU613">
        <v>-4.8799999999999998E-3</v>
      </c>
      <c r="AV613">
        <v>0.16344</v>
      </c>
      <c r="AW613">
        <v>-2.3859999999999999E-2</v>
      </c>
      <c r="AX613">
        <v>5.5700000000000003E-3</v>
      </c>
      <c r="AY613">
        <v>-7.2999999999999996E-4</v>
      </c>
      <c r="AZ613">
        <v>3.4049999999999997E-2</v>
      </c>
      <c r="BA613">
        <v>1</v>
      </c>
      <c r="BB613" t="s">
        <v>70</v>
      </c>
      <c r="BC613">
        <v>0.29499999999999998</v>
      </c>
      <c r="BD613">
        <v>-8.4000000000000005E-2</v>
      </c>
      <c r="BE613" t="s">
        <v>71</v>
      </c>
    </row>
    <row r="614" spans="1:57">
      <c r="A614">
        <v>2617</v>
      </c>
      <c r="B614" t="s">
        <v>2620</v>
      </c>
      <c r="D614" t="s">
        <v>66</v>
      </c>
      <c r="E614" t="s">
        <v>2621</v>
      </c>
      <c r="F614" t="s">
        <v>2622</v>
      </c>
      <c r="G614">
        <v>189</v>
      </c>
      <c r="H614" t="s">
        <v>63</v>
      </c>
      <c r="I614">
        <v>5</v>
      </c>
      <c r="J614" t="str">
        <f>HYPERLINK("Gene2617-zp_tree_all.dnd", "Gene2617-tree")</f>
        <v>Gene2617-tree</v>
      </c>
      <c r="K614">
        <v>4</v>
      </c>
      <c r="L614">
        <v>1</v>
      </c>
      <c r="M614">
        <v>4</v>
      </c>
      <c r="N614">
        <v>1</v>
      </c>
      <c r="O614">
        <v>0.2</v>
      </c>
      <c r="P614" t="s">
        <v>64</v>
      </c>
      <c r="Q614" t="s">
        <v>65</v>
      </c>
      <c r="R614" t="s">
        <v>66</v>
      </c>
      <c r="S614" t="s">
        <v>66</v>
      </c>
      <c r="T614">
        <v>0</v>
      </c>
      <c r="U614">
        <v>0</v>
      </c>
      <c r="V614">
        <v>4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0</v>
      </c>
      <c r="AH614">
        <v>5</v>
      </c>
      <c r="AI614">
        <v>2</v>
      </c>
      <c r="AJ614">
        <v>9</v>
      </c>
      <c r="AK614">
        <v>1</v>
      </c>
      <c r="AL614">
        <v>13</v>
      </c>
      <c r="AM614">
        <v>3</v>
      </c>
      <c r="AN614" t="s">
        <v>2623</v>
      </c>
      <c r="AO614" t="s">
        <v>2624</v>
      </c>
      <c r="AP614">
        <v>0.47199999999999998</v>
      </c>
      <c r="AQ614" t="s">
        <v>69</v>
      </c>
      <c r="AR614">
        <v>22</v>
      </c>
      <c r="AS614">
        <v>4</v>
      </c>
      <c r="AT614">
        <v>2.257E-2</v>
      </c>
      <c r="AU614">
        <v>-3.96E-3</v>
      </c>
      <c r="AV614">
        <v>9.2399999999999996E-2</v>
      </c>
      <c r="AW614">
        <v>-1.6809999999999999E-2</v>
      </c>
      <c r="AX614">
        <v>4.9899999999999996E-3</v>
      </c>
      <c r="AY614">
        <v>-9.5E-4</v>
      </c>
      <c r="AZ614">
        <v>5.4030000000000002E-2</v>
      </c>
      <c r="BA614">
        <v>1</v>
      </c>
      <c r="BB614" t="s">
        <v>70</v>
      </c>
      <c r="BC614">
        <v>1.1839999999999999</v>
      </c>
      <c r="BD614">
        <v>0.64600000000000002</v>
      </c>
      <c r="BE614" t="s">
        <v>71</v>
      </c>
    </row>
    <row r="615" spans="1:57">
      <c r="A615">
        <v>2618</v>
      </c>
      <c r="B615" t="s">
        <v>2625</v>
      </c>
      <c r="D615" t="s">
        <v>66</v>
      </c>
      <c r="E615" t="s">
        <v>2626</v>
      </c>
      <c r="F615" t="s">
        <v>2627</v>
      </c>
      <c r="G615">
        <v>96</v>
      </c>
      <c r="H615" t="s">
        <v>63</v>
      </c>
      <c r="I615">
        <v>5</v>
      </c>
      <c r="J615" t="str">
        <f>HYPERLINK("Gene2618-zp_tree_all.dnd", "Gene2618-tree")</f>
        <v>Gene2618-tree</v>
      </c>
      <c r="K615">
        <v>3</v>
      </c>
      <c r="L615">
        <v>2</v>
      </c>
      <c r="M615">
        <v>2</v>
      </c>
      <c r="N615">
        <v>2</v>
      </c>
      <c r="O615">
        <v>0.5</v>
      </c>
      <c r="P615" t="s">
        <v>185</v>
      </c>
      <c r="Q615" t="s">
        <v>124</v>
      </c>
      <c r="R615" t="s">
        <v>66</v>
      </c>
      <c r="S615" t="s">
        <v>66</v>
      </c>
      <c r="T615">
        <v>0</v>
      </c>
      <c r="U615">
        <v>0</v>
      </c>
      <c r="V615">
        <v>2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2</v>
      </c>
      <c r="AG615">
        <v>0</v>
      </c>
      <c r="AH615">
        <v>3</v>
      </c>
      <c r="AI615">
        <v>1</v>
      </c>
      <c r="AJ615">
        <v>5</v>
      </c>
      <c r="AK615">
        <v>2</v>
      </c>
      <c r="AL615">
        <v>4</v>
      </c>
      <c r="AM615">
        <v>0</v>
      </c>
      <c r="AN615" t="s">
        <v>2628</v>
      </c>
      <c r="AO615" t="s">
        <v>68</v>
      </c>
      <c r="AP615">
        <v>2.9750000000000001</v>
      </c>
      <c r="AQ615" t="s">
        <v>239</v>
      </c>
      <c r="AR615">
        <v>9</v>
      </c>
      <c r="AS615">
        <v>2</v>
      </c>
      <c r="AT615">
        <v>1.9099999999999999E-2</v>
      </c>
      <c r="AU615">
        <v>-3.0300000000000001E-3</v>
      </c>
      <c r="AV615">
        <v>7.7530000000000002E-2</v>
      </c>
      <c r="AW615">
        <v>-1.372E-2</v>
      </c>
      <c r="AX615">
        <v>4.4400000000000004E-3</v>
      </c>
      <c r="AY615">
        <v>-1.0499999999999999E-3</v>
      </c>
      <c r="AZ615">
        <v>5.7209999999999997E-2</v>
      </c>
      <c r="BA615">
        <v>1</v>
      </c>
      <c r="BB615" t="s">
        <v>70</v>
      </c>
      <c r="BC615">
        <v>0.625</v>
      </c>
      <c r="BD615">
        <v>-0.19700000000000001</v>
      </c>
      <c r="BE615" t="s">
        <v>71</v>
      </c>
    </row>
    <row r="616" spans="1:57">
      <c r="A616">
        <v>2621</v>
      </c>
      <c r="B616" t="s">
        <v>2629</v>
      </c>
      <c r="D616" t="s">
        <v>66</v>
      </c>
      <c r="E616" t="s">
        <v>2630</v>
      </c>
      <c r="F616" t="s">
        <v>74</v>
      </c>
      <c r="G616">
        <v>172</v>
      </c>
      <c r="H616" t="s">
        <v>63</v>
      </c>
      <c r="I616">
        <v>5</v>
      </c>
      <c r="J616" t="str">
        <f>HYPERLINK("Gene2621-zp_tree_all.dnd", "Gene2621-tree")</f>
        <v>Gene2621-tree</v>
      </c>
      <c r="K616">
        <v>5</v>
      </c>
      <c r="L616">
        <v>0</v>
      </c>
      <c r="M616">
        <v>5</v>
      </c>
      <c r="N616">
        <v>0</v>
      </c>
      <c r="O616">
        <v>0</v>
      </c>
      <c r="P616" t="s">
        <v>96</v>
      </c>
      <c r="Q616" t="s">
        <v>66</v>
      </c>
      <c r="R616" t="s">
        <v>66</v>
      </c>
      <c r="S616" t="s">
        <v>66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4</v>
      </c>
      <c r="AI616">
        <v>1</v>
      </c>
      <c r="AJ616">
        <v>13</v>
      </c>
      <c r="AK616">
        <v>0</v>
      </c>
      <c r="AL616">
        <v>12</v>
      </c>
      <c r="AM616">
        <v>0</v>
      </c>
      <c r="AN616" t="s">
        <v>68</v>
      </c>
      <c r="AO616" t="s">
        <v>68</v>
      </c>
      <c r="AP616">
        <v>0</v>
      </c>
      <c r="AQ616" t="s">
        <v>69</v>
      </c>
      <c r="AR616">
        <v>25</v>
      </c>
      <c r="AS616">
        <v>0</v>
      </c>
      <c r="AT616">
        <v>2.4029999999999999E-2</v>
      </c>
      <c r="AU616">
        <v>-4.64E-3</v>
      </c>
      <c r="AV616">
        <v>0.12349</v>
      </c>
      <c r="AW616">
        <v>-2.4250000000000001E-2</v>
      </c>
      <c r="AX616">
        <v>0</v>
      </c>
      <c r="AY616">
        <v>0</v>
      </c>
      <c r="AZ616">
        <v>0</v>
      </c>
      <c r="BA616">
        <v>1</v>
      </c>
      <c r="BB616" t="s">
        <v>70</v>
      </c>
      <c r="BC616">
        <v>0.248</v>
      </c>
      <c r="BD616">
        <v>0.248</v>
      </c>
      <c r="BE616" t="s">
        <v>71</v>
      </c>
    </row>
    <row r="617" spans="1:57">
      <c r="A617">
        <v>2768</v>
      </c>
      <c r="B617" t="s">
        <v>2656</v>
      </c>
      <c r="D617" t="s">
        <v>66</v>
      </c>
      <c r="E617" t="s">
        <v>2657</v>
      </c>
      <c r="F617" t="s">
        <v>74</v>
      </c>
      <c r="G617">
        <v>49</v>
      </c>
      <c r="H617" t="s">
        <v>63</v>
      </c>
      <c r="I617">
        <v>5</v>
      </c>
      <c r="J617" t="str">
        <f>HYPERLINK("Gene2768-zp_tree_all.dnd", "Gene2768-tree")</f>
        <v>Gene2768-tree</v>
      </c>
      <c r="K617">
        <v>3</v>
      </c>
      <c r="L617">
        <v>2</v>
      </c>
      <c r="M617">
        <v>3</v>
      </c>
      <c r="N617">
        <v>2</v>
      </c>
      <c r="O617">
        <v>0.4</v>
      </c>
      <c r="P617" t="s">
        <v>86</v>
      </c>
      <c r="Q617" t="s">
        <v>124</v>
      </c>
      <c r="R617" t="s">
        <v>66</v>
      </c>
      <c r="S617" t="s">
        <v>66</v>
      </c>
      <c r="T617">
        <v>1</v>
      </c>
      <c r="U617">
        <v>2</v>
      </c>
      <c r="V617">
        <v>1</v>
      </c>
      <c r="W617">
        <v>0.66666999999999998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2</v>
      </c>
      <c r="AE617">
        <v>2</v>
      </c>
      <c r="AF617">
        <v>1</v>
      </c>
      <c r="AG617">
        <v>0.66666999999999998</v>
      </c>
      <c r="AH617">
        <v>3</v>
      </c>
      <c r="AI617">
        <v>1</v>
      </c>
      <c r="AJ617">
        <v>4</v>
      </c>
      <c r="AK617">
        <v>1</v>
      </c>
      <c r="AL617">
        <v>0</v>
      </c>
      <c r="AM617">
        <v>2</v>
      </c>
      <c r="AN617" t="s">
        <v>2658</v>
      </c>
      <c r="AO617" t="s">
        <v>68</v>
      </c>
      <c r="AP617">
        <v>0.81100000000000005</v>
      </c>
      <c r="AQ617" t="s">
        <v>69</v>
      </c>
      <c r="AR617">
        <v>4</v>
      </c>
      <c r="AS617">
        <v>3</v>
      </c>
      <c r="AT617">
        <v>1.9730000000000001E-2</v>
      </c>
      <c r="AU617">
        <v>-2.4399999999999999E-3</v>
      </c>
      <c r="AV617">
        <v>6.2149999999999997E-2</v>
      </c>
      <c r="AW617">
        <v>-1.1610000000000001E-2</v>
      </c>
      <c r="AX617">
        <v>1.0970000000000001E-2</v>
      </c>
      <c r="AY617">
        <v>-2.3999999999999998E-3</v>
      </c>
      <c r="AZ617">
        <v>0.17648</v>
      </c>
      <c r="BA617">
        <v>0.92400000000000004</v>
      </c>
      <c r="BB617" t="s">
        <v>188</v>
      </c>
      <c r="BC617">
        <v>4.8000000000000001E-2</v>
      </c>
      <c r="BD617">
        <v>-1.1459999999999999</v>
      </c>
      <c r="BE617" t="s">
        <v>71</v>
      </c>
    </row>
    <row r="618" spans="1:57">
      <c r="A618">
        <v>2781</v>
      </c>
      <c r="B618" t="s">
        <v>2663</v>
      </c>
      <c r="D618" t="s">
        <v>66</v>
      </c>
      <c r="E618" t="s">
        <v>2664</v>
      </c>
      <c r="F618" t="s">
        <v>2665</v>
      </c>
      <c r="G618">
        <v>157</v>
      </c>
      <c r="H618" t="s">
        <v>63</v>
      </c>
      <c r="I618">
        <v>5</v>
      </c>
      <c r="J618" t="str">
        <f>HYPERLINK("Gene2781-zp_tree_all.dnd", "Gene2781-tree")</f>
        <v>Gene2781-tree</v>
      </c>
      <c r="K618">
        <v>5</v>
      </c>
      <c r="L618">
        <v>0</v>
      </c>
      <c r="M618">
        <v>5</v>
      </c>
      <c r="N618">
        <v>0</v>
      </c>
      <c r="O618">
        <v>0</v>
      </c>
      <c r="P618" t="s">
        <v>96</v>
      </c>
      <c r="Q618" t="s">
        <v>66</v>
      </c>
      <c r="R618" t="s">
        <v>66</v>
      </c>
      <c r="S618" t="s">
        <v>66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3</v>
      </c>
      <c r="AI618">
        <v>2</v>
      </c>
      <c r="AJ618">
        <v>10</v>
      </c>
      <c r="AK618">
        <v>0</v>
      </c>
      <c r="AL618">
        <v>17</v>
      </c>
      <c r="AM618">
        <v>1</v>
      </c>
      <c r="AN618" t="s">
        <v>68</v>
      </c>
      <c r="AO618" t="s">
        <v>2666</v>
      </c>
      <c r="AP618">
        <v>0.97699999999999998</v>
      </c>
      <c r="AQ618" t="s">
        <v>69</v>
      </c>
      <c r="AR618">
        <v>27</v>
      </c>
      <c r="AS618">
        <v>1</v>
      </c>
      <c r="AT618">
        <v>2.9940000000000001E-2</v>
      </c>
      <c r="AU618">
        <v>-5.5399999999999998E-3</v>
      </c>
      <c r="AV618">
        <v>0.14241000000000001</v>
      </c>
      <c r="AW618">
        <v>-2.6749999999999999E-2</v>
      </c>
      <c r="AX618">
        <v>2.47E-3</v>
      </c>
      <c r="AY618">
        <v>-6.8000000000000005E-4</v>
      </c>
      <c r="AZ618">
        <v>1.7319999999999999E-2</v>
      </c>
      <c r="BA618">
        <v>1</v>
      </c>
      <c r="BB618" t="s">
        <v>70</v>
      </c>
      <c r="BC618">
        <v>0.96699999999999997</v>
      </c>
      <c r="BD618">
        <v>0.66900000000000004</v>
      </c>
      <c r="BE618" t="s">
        <v>71</v>
      </c>
    </row>
    <row r="619" spans="1:57">
      <c r="A619">
        <v>2782</v>
      </c>
      <c r="B619" t="s">
        <v>2667</v>
      </c>
      <c r="D619" t="s">
        <v>66</v>
      </c>
      <c r="E619" t="s">
        <v>2668</v>
      </c>
      <c r="F619" t="s">
        <v>2669</v>
      </c>
      <c r="G619">
        <v>211</v>
      </c>
      <c r="H619" t="s">
        <v>63</v>
      </c>
      <c r="I619">
        <v>5</v>
      </c>
      <c r="J619" t="str">
        <f>HYPERLINK("Gene2782-zp_tree_all.dnd", "Gene2782-tree")</f>
        <v>Gene2782-tree</v>
      </c>
      <c r="K619">
        <v>5</v>
      </c>
      <c r="L619">
        <v>0</v>
      </c>
      <c r="M619">
        <v>4</v>
      </c>
      <c r="N619">
        <v>0</v>
      </c>
      <c r="O619">
        <v>0</v>
      </c>
      <c r="P619" t="s">
        <v>135</v>
      </c>
      <c r="Q619" t="s">
        <v>66</v>
      </c>
      <c r="R619" t="s">
        <v>66</v>
      </c>
      <c r="S619" t="s">
        <v>66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4</v>
      </c>
      <c r="AI619">
        <v>1</v>
      </c>
      <c r="AJ619">
        <v>21</v>
      </c>
      <c r="AK619">
        <v>0</v>
      </c>
      <c r="AL619">
        <v>14</v>
      </c>
      <c r="AM619">
        <v>0</v>
      </c>
      <c r="AN619" t="s">
        <v>68</v>
      </c>
      <c r="AO619" t="s">
        <v>68</v>
      </c>
      <c r="AP619">
        <v>0</v>
      </c>
      <c r="AQ619" t="s">
        <v>69</v>
      </c>
      <c r="AR619">
        <v>35</v>
      </c>
      <c r="AS619">
        <v>0</v>
      </c>
      <c r="AT619">
        <v>2.9749999999999999E-2</v>
      </c>
      <c r="AU619">
        <v>-4.3E-3</v>
      </c>
      <c r="AV619">
        <v>0.14641000000000001</v>
      </c>
      <c r="AW619">
        <v>-2.247E-2</v>
      </c>
      <c r="AX619">
        <v>0</v>
      </c>
      <c r="AY619">
        <v>0</v>
      </c>
      <c r="AZ619">
        <v>0</v>
      </c>
      <c r="BA619">
        <v>1</v>
      </c>
      <c r="BB619" t="s">
        <v>70</v>
      </c>
      <c r="BC619">
        <v>0.65300000000000002</v>
      </c>
      <c r="BD619">
        <v>0.40899999999999997</v>
      </c>
      <c r="BE619" t="s">
        <v>71</v>
      </c>
    </row>
    <row r="620" spans="1:57">
      <c r="A620">
        <v>2783</v>
      </c>
      <c r="B620" t="s">
        <v>2670</v>
      </c>
      <c r="D620" t="s">
        <v>66</v>
      </c>
      <c r="E620" t="s">
        <v>2671</v>
      </c>
      <c r="F620" t="s">
        <v>2672</v>
      </c>
      <c r="G620">
        <v>422</v>
      </c>
      <c r="H620" t="s">
        <v>85</v>
      </c>
      <c r="I620">
        <v>4</v>
      </c>
      <c r="J620" t="str">
        <f>HYPERLINK("Gene2783-zp_tree_all.dnd", "Gene2783-tree")</f>
        <v>Gene2783-tree</v>
      </c>
      <c r="K620">
        <v>2</v>
      </c>
      <c r="L620">
        <v>2</v>
      </c>
      <c r="M620">
        <v>2</v>
      </c>
      <c r="N620">
        <v>2</v>
      </c>
      <c r="O620">
        <v>0.5</v>
      </c>
      <c r="P620" t="s">
        <v>124</v>
      </c>
      <c r="Q620" t="s">
        <v>124</v>
      </c>
      <c r="R620" t="s">
        <v>66</v>
      </c>
      <c r="S620" t="s">
        <v>66</v>
      </c>
      <c r="T620">
        <v>0</v>
      </c>
      <c r="U620">
        <v>0</v>
      </c>
      <c r="V620">
        <v>6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6</v>
      </c>
      <c r="AG620">
        <v>0</v>
      </c>
      <c r="AH620">
        <v>4</v>
      </c>
      <c r="AI620">
        <v>1</v>
      </c>
      <c r="AJ620">
        <v>64</v>
      </c>
      <c r="AK620">
        <v>7</v>
      </c>
      <c r="AL620">
        <v>7</v>
      </c>
      <c r="AM620">
        <v>0</v>
      </c>
      <c r="AN620" t="s">
        <v>2673</v>
      </c>
      <c r="AO620" t="s">
        <v>68</v>
      </c>
      <c r="AP620">
        <v>0.91400000000000003</v>
      </c>
      <c r="AQ620" t="s">
        <v>69</v>
      </c>
      <c r="AR620">
        <v>71</v>
      </c>
      <c r="AS620">
        <v>7</v>
      </c>
      <c r="AT620">
        <v>3.0669999999999999E-2</v>
      </c>
      <c r="AU620">
        <v>-6.6400000000000001E-3</v>
      </c>
      <c r="AV620">
        <v>0.14466000000000001</v>
      </c>
      <c r="AW620">
        <v>-3.3799999999999997E-2</v>
      </c>
      <c r="AX620">
        <v>3.5500000000000002E-3</v>
      </c>
      <c r="AY620">
        <v>-8.4999999999999995E-4</v>
      </c>
      <c r="AZ620">
        <v>2.453E-2</v>
      </c>
      <c r="BA620">
        <v>1</v>
      </c>
      <c r="BB620" t="s">
        <v>70</v>
      </c>
      <c r="BC620">
        <v>-0.39600000000000002</v>
      </c>
      <c r="BD620">
        <v>-0.52500000000000002</v>
      </c>
      <c r="BE620" t="s">
        <v>71</v>
      </c>
    </row>
    <row r="621" spans="1:57">
      <c r="A621">
        <v>2784</v>
      </c>
      <c r="B621" t="s">
        <v>2674</v>
      </c>
      <c r="D621" t="s">
        <v>66</v>
      </c>
      <c r="E621" t="s">
        <v>2675</v>
      </c>
      <c r="F621" t="s">
        <v>2676</v>
      </c>
      <c r="G621">
        <v>309</v>
      </c>
      <c r="H621" t="s">
        <v>63</v>
      </c>
      <c r="I621">
        <v>5</v>
      </c>
      <c r="J621" t="str">
        <f>HYPERLINK("Gene2784-zp_tree_all.dnd", "Gene2784-tree")</f>
        <v>Gene2784-tree</v>
      </c>
      <c r="K621">
        <v>1</v>
      </c>
      <c r="L621">
        <v>4</v>
      </c>
      <c r="M621">
        <v>1</v>
      </c>
      <c r="N621">
        <v>4</v>
      </c>
      <c r="O621">
        <v>0.8</v>
      </c>
      <c r="P621" t="s">
        <v>65</v>
      </c>
      <c r="Q621" t="s">
        <v>64</v>
      </c>
      <c r="R621" t="s">
        <v>66</v>
      </c>
      <c r="S621" t="s">
        <v>66</v>
      </c>
      <c r="T621">
        <v>0</v>
      </c>
      <c r="U621">
        <v>0</v>
      </c>
      <c r="V621">
        <v>8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8</v>
      </c>
      <c r="AG621">
        <v>0</v>
      </c>
      <c r="AH621">
        <v>5</v>
      </c>
      <c r="AI621">
        <v>2</v>
      </c>
      <c r="AJ621">
        <v>22</v>
      </c>
      <c r="AK621">
        <v>5</v>
      </c>
      <c r="AL621">
        <v>37</v>
      </c>
      <c r="AM621">
        <v>3</v>
      </c>
      <c r="AN621" t="s">
        <v>2677</v>
      </c>
      <c r="AO621" t="s">
        <v>2678</v>
      </c>
      <c r="AP621">
        <v>1.27</v>
      </c>
      <c r="AQ621" t="s">
        <v>69</v>
      </c>
      <c r="AR621">
        <v>59</v>
      </c>
      <c r="AS621">
        <v>8</v>
      </c>
      <c r="AT621">
        <v>3.7109999999999997E-2</v>
      </c>
      <c r="AU621">
        <v>-6.13E-3</v>
      </c>
      <c r="AV621">
        <v>0.17630999999999999</v>
      </c>
      <c r="AW621">
        <v>-3.1460000000000002E-2</v>
      </c>
      <c r="AX621">
        <v>5.2599999999999999E-3</v>
      </c>
      <c r="AY621">
        <v>-7.2999999999999996E-4</v>
      </c>
      <c r="AZ621">
        <v>2.9839999999999998E-2</v>
      </c>
      <c r="BA621">
        <v>1</v>
      </c>
      <c r="BB621" t="s">
        <v>70</v>
      </c>
      <c r="BC621">
        <v>0.65</v>
      </c>
      <c r="BD621">
        <v>0.55500000000000005</v>
      </c>
      <c r="BE621" t="s">
        <v>71</v>
      </c>
    </row>
    <row r="622" spans="1:57">
      <c r="A622">
        <v>2785</v>
      </c>
      <c r="B622" t="s">
        <v>2679</v>
      </c>
      <c r="D622" t="s">
        <v>66</v>
      </c>
      <c r="E622" t="s">
        <v>2680</v>
      </c>
      <c r="F622" t="s">
        <v>2681</v>
      </c>
      <c r="G622">
        <v>217</v>
      </c>
      <c r="H622" t="s">
        <v>63</v>
      </c>
      <c r="I622">
        <v>5</v>
      </c>
      <c r="J622" t="str">
        <f>HYPERLINK("Gene2785-zp_tree_all.dnd", "Gene2785-tree")</f>
        <v>Gene2785-tree</v>
      </c>
      <c r="K622">
        <v>2</v>
      </c>
      <c r="L622">
        <v>3</v>
      </c>
      <c r="M622">
        <v>2</v>
      </c>
      <c r="N622">
        <v>3</v>
      </c>
      <c r="O622">
        <v>0.6</v>
      </c>
      <c r="P622" t="s">
        <v>124</v>
      </c>
      <c r="Q622" t="s">
        <v>86</v>
      </c>
      <c r="R622" t="s">
        <v>66</v>
      </c>
      <c r="S622" t="s">
        <v>66</v>
      </c>
      <c r="T622">
        <v>0</v>
      </c>
      <c r="U622">
        <v>0</v>
      </c>
      <c r="V622">
        <v>8</v>
      </c>
      <c r="W622">
        <v>0</v>
      </c>
      <c r="X622">
        <v>0</v>
      </c>
      <c r="Y622">
        <v>0</v>
      </c>
      <c r="Z622">
        <v>0</v>
      </c>
      <c r="AA622">
        <v>2</v>
      </c>
      <c r="AB622">
        <v>0</v>
      </c>
      <c r="AC622">
        <v>0</v>
      </c>
      <c r="AD622">
        <v>0</v>
      </c>
      <c r="AE622">
        <v>0</v>
      </c>
      <c r="AF622">
        <v>6</v>
      </c>
      <c r="AG622">
        <v>0</v>
      </c>
      <c r="AH622">
        <v>5</v>
      </c>
      <c r="AI622">
        <v>2</v>
      </c>
      <c r="AJ622">
        <v>19</v>
      </c>
      <c r="AK622">
        <v>6</v>
      </c>
      <c r="AL622">
        <v>9</v>
      </c>
      <c r="AM622">
        <v>2</v>
      </c>
      <c r="AN622" t="s">
        <v>2682</v>
      </c>
      <c r="AO622" t="s">
        <v>2683</v>
      </c>
      <c r="AP622">
        <v>0.51</v>
      </c>
      <c r="AQ622" t="s">
        <v>69</v>
      </c>
      <c r="AR622">
        <v>28</v>
      </c>
      <c r="AS622">
        <v>8</v>
      </c>
      <c r="AT622">
        <v>2.3349999999999999E-2</v>
      </c>
      <c r="AU622">
        <v>-2.0600000000000002E-3</v>
      </c>
      <c r="AV622">
        <v>8.3570000000000005E-2</v>
      </c>
      <c r="AW622">
        <v>-7.6699999999999997E-3</v>
      </c>
      <c r="AX622">
        <v>7.1900000000000002E-3</v>
      </c>
      <c r="AY622">
        <v>-9.5E-4</v>
      </c>
      <c r="AZ622">
        <v>8.6010000000000003E-2</v>
      </c>
      <c r="BA622">
        <v>1</v>
      </c>
      <c r="BB622" t="s">
        <v>70</v>
      </c>
      <c r="BC622">
        <v>-7.8E-2</v>
      </c>
      <c r="BD622">
        <v>-0.27300000000000002</v>
      </c>
      <c r="BE622" t="s">
        <v>71</v>
      </c>
    </row>
    <row r="623" spans="1:57">
      <c r="A623">
        <v>2787</v>
      </c>
      <c r="B623" t="s">
        <v>2684</v>
      </c>
      <c r="D623" t="s">
        <v>66</v>
      </c>
      <c r="E623" t="s">
        <v>2685</v>
      </c>
      <c r="F623" t="s">
        <v>74</v>
      </c>
      <c r="G623">
        <v>93</v>
      </c>
      <c r="H623" t="s">
        <v>63</v>
      </c>
      <c r="I623">
        <v>5</v>
      </c>
      <c r="J623" t="str">
        <f>HYPERLINK("Gene2787-zp_tree_all.dnd", "Gene2787-tree")</f>
        <v>Gene2787-tree</v>
      </c>
      <c r="K623">
        <v>3</v>
      </c>
      <c r="L623">
        <v>2</v>
      </c>
      <c r="M623">
        <v>3</v>
      </c>
      <c r="N623">
        <v>2</v>
      </c>
      <c r="O623">
        <v>0.4</v>
      </c>
      <c r="P623" t="s">
        <v>86</v>
      </c>
      <c r="Q623" t="s">
        <v>124</v>
      </c>
      <c r="R623" t="s">
        <v>66</v>
      </c>
      <c r="S623" t="s">
        <v>66</v>
      </c>
      <c r="T623">
        <v>1</v>
      </c>
      <c r="U623">
        <v>2</v>
      </c>
      <c r="V623">
        <v>2</v>
      </c>
      <c r="W623">
        <v>0.5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2</v>
      </c>
      <c r="AE623">
        <v>2</v>
      </c>
      <c r="AF623">
        <v>2</v>
      </c>
      <c r="AG623">
        <v>0.5</v>
      </c>
      <c r="AH623">
        <v>5</v>
      </c>
      <c r="AI623">
        <v>2</v>
      </c>
      <c r="AJ623">
        <v>10</v>
      </c>
      <c r="AK623">
        <v>3</v>
      </c>
      <c r="AL623">
        <v>4</v>
      </c>
      <c r="AM623">
        <v>1</v>
      </c>
      <c r="AN623" t="s">
        <v>2686</v>
      </c>
      <c r="AO623" t="s">
        <v>2687</v>
      </c>
      <c r="AP623">
        <v>0.153</v>
      </c>
      <c r="AQ623" t="s">
        <v>69</v>
      </c>
      <c r="AR623">
        <v>14</v>
      </c>
      <c r="AS623">
        <v>4</v>
      </c>
      <c r="AT623">
        <v>2.7539999999999999E-2</v>
      </c>
      <c r="AU623">
        <v>-2.82E-3</v>
      </c>
      <c r="AV623">
        <v>0.12393999999999999</v>
      </c>
      <c r="AW623">
        <v>-1.124E-2</v>
      </c>
      <c r="AX623">
        <v>6.79E-3</v>
      </c>
      <c r="AY623">
        <v>-1.47E-3</v>
      </c>
      <c r="AZ623">
        <v>5.4809999999999998E-2</v>
      </c>
      <c r="BA623">
        <v>1</v>
      </c>
      <c r="BB623" t="s">
        <v>70</v>
      </c>
      <c r="BC623">
        <v>-7.5999999999999998E-2</v>
      </c>
      <c r="BD623">
        <v>-1.0309999999999999</v>
      </c>
      <c r="BE623" t="s">
        <v>71</v>
      </c>
    </row>
    <row r="624" spans="1:57">
      <c r="A624">
        <v>2788</v>
      </c>
      <c r="B624" t="s">
        <v>2688</v>
      </c>
      <c r="D624" t="s">
        <v>66</v>
      </c>
      <c r="E624" t="s">
        <v>2689</v>
      </c>
      <c r="F624" t="s">
        <v>2690</v>
      </c>
      <c r="G624">
        <v>138</v>
      </c>
      <c r="H624" t="s">
        <v>63</v>
      </c>
      <c r="I624">
        <v>5</v>
      </c>
      <c r="J624" t="str">
        <f>HYPERLINK("Gene2788-zp_tree_all.dnd", "Gene2788-tree")</f>
        <v>Gene2788-tree</v>
      </c>
      <c r="K624">
        <v>5</v>
      </c>
      <c r="L624">
        <v>0</v>
      </c>
      <c r="M624">
        <v>4</v>
      </c>
      <c r="N624">
        <v>0</v>
      </c>
      <c r="O624">
        <v>0</v>
      </c>
      <c r="P624" t="s">
        <v>135</v>
      </c>
      <c r="Q624" t="s">
        <v>66</v>
      </c>
      <c r="R624" t="s">
        <v>66</v>
      </c>
      <c r="S624" t="s">
        <v>66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3</v>
      </c>
      <c r="AI624">
        <v>1</v>
      </c>
      <c r="AJ624">
        <v>6</v>
      </c>
      <c r="AK624">
        <v>0</v>
      </c>
      <c r="AL624">
        <v>5</v>
      </c>
      <c r="AM624">
        <v>1</v>
      </c>
      <c r="AN624" t="s">
        <v>68</v>
      </c>
      <c r="AO624" t="s">
        <v>2691</v>
      </c>
      <c r="AP624">
        <v>0</v>
      </c>
      <c r="AQ624" t="s">
        <v>69</v>
      </c>
      <c r="AR624">
        <v>11</v>
      </c>
      <c r="AS624">
        <v>1</v>
      </c>
      <c r="AT624">
        <v>1.6910000000000001E-2</v>
      </c>
      <c r="AU624">
        <v>-3.0699999999999998E-3</v>
      </c>
      <c r="AV624">
        <v>7.0709999999999995E-2</v>
      </c>
      <c r="AW624">
        <v>-1.2460000000000001E-2</v>
      </c>
      <c r="AX624">
        <v>2.0899999999999998E-3</v>
      </c>
      <c r="AY624">
        <v>-4.8999999999999998E-4</v>
      </c>
      <c r="AZ624">
        <v>2.9590000000000002E-2</v>
      </c>
      <c r="BA624">
        <v>1</v>
      </c>
      <c r="BB624" t="s">
        <v>70</v>
      </c>
      <c r="BC624">
        <v>0.30099999999999999</v>
      </c>
      <c r="BD624">
        <v>0.30099999999999999</v>
      </c>
      <c r="BE624" t="s">
        <v>71</v>
      </c>
    </row>
    <row r="625" spans="1:57">
      <c r="A625">
        <v>2798</v>
      </c>
      <c r="B625" t="s">
        <v>2698</v>
      </c>
      <c r="D625" t="s">
        <v>66</v>
      </c>
      <c r="E625" t="s">
        <v>2699</v>
      </c>
      <c r="F625" t="s">
        <v>74</v>
      </c>
      <c r="G625">
        <v>174</v>
      </c>
      <c r="H625" t="s">
        <v>63</v>
      </c>
      <c r="I625">
        <v>5</v>
      </c>
      <c r="J625" t="str">
        <f>HYPERLINK("Gene2798-zp_tree_all.dnd", "Gene2798-tree")</f>
        <v>Gene2798-tree</v>
      </c>
      <c r="K625">
        <v>2</v>
      </c>
      <c r="L625">
        <v>3</v>
      </c>
      <c r="M625">
        <v>2</v>
      </c>
      <c r="N625">
        <v>3</v>
      </c>
      <c r="O625">
        <v>0.6</v>
      </c>
      <c r="P625" t="s">
        <v>124</v>
      </c>
      <c r="Q625" t="s">
        <v>86</v>
      </c>
      <c r="R625" t="s">
        <v>66</v>
      </c>
      <c r="S625" t="s">
        <v>66</v>
      </c>
      <c r="T625">
        <v>1</v>
      </c>
      <c r="U625">
        <v>2</v>
      </c>
      <c r="V625">
        <v>9</v>
      </c>
      <c r="W625">
        <v>0.18182000000000001</v>
      </c>
      <c r="X625">
        <v>0</v>
      </c>
      <c r="Y625">
        <v>0</v>
      </c>
      <c r="Z625">
        <v>0</v>
      </c>
      <c r="AA625">
        <v>2</v>
      </c>
      <c r="AB625">
        <v>0</v>
      </c>
      <c r="AC625">
        <v>0</v>
      </c>
      <c r="AD625">
        <v>0</v>
      </c>
      <c r="AE625">
        <v>0</v>
      </c>
      <c r="AF625">
        <v>9</v>
      </c>
      <c r="AG625">
        <v>0</v>
      </c>
      <c r="AH625">
        <v>5</v>
      </c>
      <c r="AI625">
        <v>2</v>
      </c>
      <c r="AJ625">
        <v>12</v>
      </c>
      <c r="AK625">
        <v>5</v>
      </c>
      <c r="AL625">
        <v>14</v>
      </c>
      <c r="AM625">
        <v>6</v>
      </c>
      <c r="AN625" t="s">
        <v>2700</v>
      </c>
      <c r="AO625" t="s">
        <v>2701</v>
      </c>
      <c r="AP625">
        <v>1.2E-2</v>
      </c>
      <c r="AQ625" t="s">
        <v>69</v>
      </c>
      <c r="AR625">
        <v>26</v>
      </c>
      <c r="AS625">
        <v>11</v>
      </c>
      <c r="AT625">
        <v>3.4099999999999998E-2</v>
      </c>
      <c r="AU625">
        <v>-4.5700000000000003E-3</v>
      </c>
      <c r="AV625">
        <v>0.11466</v>
      </c>
      <c r="AW625">
        <v>-1.686E-2</v>
      </c>
      <c r="AX625">
        <v>1.353E-2</v>
      </c>
      <c r="AY625">
        <v>-2.0799999999999998E-3</v>
      </c>
      <c r="AZ625">
        <v>0.11801</v>
      </c>
      <c r="BA625">
        <v>1</v>
      </c>
      <c r="BB625" t="s">
        <v>70</v>
      </c>
      <c r="BC625">
        <v>0.68</v>
      </c>
      <c r="BD625">
        <v>0.312</v>
      </c>
      <c r="BE625" t="s">
        <v>71</v>
      </c>
    </row>
    <row r="626" spans="1:57">
      <c r="A626">
        <v>2803</v>
      </c>
      <c r="B626" t="s">
        <v>2702</v>
      </c>
      <c r="D626" t="s">
        <v>66</v>
      </c>
      <c r="E626" t="s">
        <v>2703</v>
      </c>
      <c r="F626" t="s">
        <v>2704</v>
      </c>
      <c r="G626">
        <v>138</v>
      </c>
      <c r="H626" t="s">
        <v>63</v>
      </c>
      <c r="I626">
        <v>5</v>
      </c>
      <c r="J626" t="str">
        <f>HYPERLINK("Gene2803-zp_tree_all.dnd", "Gene2803-tree")</f>
        <v>Gene2803-tree</v>
      </c>
      <c r="K626">
        <v>5</v>
      </c>
      <c r="L626">
        <v>0</v>
      </c>
      <c r="M626">
        <v>5</v>
      </c>
      <c r="N626">
        <v>0</v>
      </c>
      <c r="O626">
        <v>0</v>
      </c>
      <c r="P626" t="s">
        <v>96</v>
      </c>
      <c r="Q626" t="s">
        <v>66</v>
      </c>
      <c r="R626" t="s">
        <v>66</v>
      </c>
      <c r="S626" t="s">
        <v>66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4</v>
      </c>
      <c r="AI626">
        <v>1</v>
      </c>
      <c r="AJ626">
        <v>8</v>
      </c>
      <c r="AK626">
        <v>0</v>
      </c>
      <c r="AL626">
        <v>13</v>
      </c>
      <c r="AM626">
        <v>0</v>
      </c>
      <c r="AN626" t="s">
        <v>68</v>
      </c>
      <c r="AO626" t="s">
        <v>68</v>
      </c>
      <c r="AP626">
        <v>0</v>
      </c>
      <c r="AQ626" t="s">
        <v>69</v>
      </c>
      <c r="AR626">
        <v>21</v>
      </c>
      <c r="AS626">
        <v>0</v>
      </c>
      <c r="AT626">
        <v>2.5360000000000001E-2</v>
      </c>
      <c r="AU626">
        <v>-4.9500000000000004E-3</v>
      </c>
      <c r="AV626">
        <v>0.11951000000000001</v>
      </c>
      <c r="AW626">
        <v>-2.4039999999999999E-2</v>
      </c>
      <c r="AX626">
        <v>0</v>
      </c>
      <c r="AY626">
        <v>0</v>
      </c>
      <c r="AZ626">
        <v>0</v>
      </c>
      <c r="BA626">
        <v>1</v>
      </c>
      <c r="BB626" t="s">
        <v>70</v>
      </c>
      <c r="BC626">
        <v>1.117</v>
      </c>
      <c r="BD626">
        <v>0.38800000000000001</v>
      </c>
      <c r="BE626" t="s">
        <v>71</v>
      </c>
    </row>
    <row r="627" spans="1:57">
      <c r="A627">
        <v>2808</v>
      </c>
      <c r="B627" t="s">
        <v>2710</v>
      </c>
      <c r="D627" t="s">
        <v>66</v>
      </c>
      <c r="E627" t="s">
        <v>2711</v>
      </c>
      <c r="F627" t="s">
        <v>74</v>
      </c>
      <c r="G627">
        <v>56</v>
      </c>
      <c r="H627" t="s">
        <v>63</v>
      </c>
      <c r="I627">
        <v>5</v>
      </c>
      <c r="J627" t="str">
        <f>HYPERLINK("Gene2808-zp_tree_all.dnd", "Gene2808-tree")</f>
        <v>Gene2808-tree</v>
      </c>
      <c r="K627">
        <v>2</v>
      </c>
      <c r="L627">
        <v>3</v>
      </c>
      <c r="M627">
        <v>2</v>
      </c>
      <c r="N627">
        <v>2</v>
      </c>
      <c r="O627">
        <v>0.5</v>
      </c>
      <c r="P627" t="s">
        <v>124</v>
      </c>
      <c r="Q627" t="s">
        <v>185</v>
      </c>
      <c r="R627">
        <v>0.30599999999999999</v>
      </c>
      <c r="S627" t="s">
        <v>69</v>
      </c>
      <c r="T627">
        <v>0</v>
      </c>
      <c r="U627">
        <v>0</v>
      </c>
      <c r="V627">
        <v>3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3</v>
      </c>
      <c r="AG627">
        <v>0</v>
      </c>
      <c r="AH627">
        <v>2</v>
      </c>
      <c r="AI627">
        <v>1</v>
      </c>
      <c r="AJ627">
        <v>5</v>
      </c>
      <c r="AK627">
        <v>1</v>
      </c>
      <c r="AL627">
        <v>3</v>
      </c>
      <c r="AM627">
        <v>2</v>
      </c>
      <c r="AN627" t="s">
        <v>2712</v>
      </c>
      <c r="AO627" t="s">
        <v>2713</v>
      </c>
      <c r="AP627">
        <v>2.4350000000000001</v>
      </c>
      <c r="AQ627" t="s">
        <v>69</v>
      </c>
      <c r="AR627">
        <v>8</v>
      </c>
      <c r="AS627">
        <v>3</v>
      </c>
      <c r="AT627">
        <v>3.7699999999999997E-2</v>
      </c>
      <c r="AU627">
        <v>-8.1399999999999997E-3</v>
      </c>
      <c r="AV627">
        <v>0.13841000000000001</v>
      </c>
      <c r="AW627">
        <v>-3.2030000000000003E-2</v>
      </c>
      <c r="AX627">
        <v>1.413E-2</v>
      </c>
      <c r="AY627">
        <v>-3.3700000000000002E-3</v>
      </c>
      <c r="AZ627">
        <v>0.10206999999999999</v>
      </c>
      <c r="BA627">
        <v>1</v>
      </c>
      <c r="BB627" t="s">
        <v>70</v>
      </c>
      <c r="BC627">
        <v>0.16400000000000001</v>
      </c>
      <c r="BD627">
        <v>0.16400000000000001</v>
      </c>
      <c r="BE627" t="s">
        <v>71</v>
      </c>
    </row>
    <row r="628" spans="1:57">
      <c r="A628">
        <v>2810</v>
      </c>
      <c r="B628" t="s">
        <v>2714</v>
      </c>
      <c r="D628" t="s">
        <v>66</v>
      </c>
      <c r="E628" t="s">
        <v>2715</v>
      </c>
      <c r="F628" t="s">
        <v>2716</v>
      </c>
      <c r="G628">
        <v>132</v>
      </c>
      <c r="H628" t="s">
        <v>63</v>
      </c>
      <c r="I628">
        <v>5</v>
      </c>
      <c r="J628" t="str">
        <f>HYPERLINK("Gene2810-zp_tree_all.dnd", "Gene2810-tree")</f>
        <v>Gene2810-tree</v>
      </c>
      <c r="K628">
        <v>3</v>
      </c>
      <c r="L628">
        <v>2</v>
      </c>
      <c r="M628">
        <v>3</v>
      </c>
      <c r="N628">
        <v>2</v>
      </c>
      <c r="O628">
        <v>0.4</v>
      </c>
      <c r="P628" t="s">
        <v>86</v>
      </c>
      <c r="Q628" t="s">
        <v>124</v>
      </c>
      <c r="R628" t="s">
        <v>66</v>
      </c>
      <c r="S628" t="s">
        <v>66</v>
      </c>
      <c r="T628">
        <v>0</v>
      </c>
      <c r="U628">
        <v>0</v>
      </c>
      <c r="V628">
        <v>9</v>
      </c>
      <c r="W628">
        <v>0</v>
      </c>
      <c r="X628">
        <v>0</v>
      </c>
      <c r="Y628">
        <v>0</v>
      </c>
      <c r="Z628">
        <v>0</v>
      </c>
      <c r="AA628">
        <v>4</v>
      </c>
      <c r="AB628">
        <v>0</v>
      </c>
      <c r="AC628">
        <v>0</v>
      </c>
      <c r="AD628">
        <v>0</v>
      </c>
      <c r="AE628">
        <v>0</v>
      </c>
      <c r="AF628">
        <v>5</v>
      </c>
      <c r="AG628">
        <v>0</v>
      </c>
      <c r="AH628">
        <v>5</v>
      </c>
      <c r="AI628">
        <v>2</v>
      </c>
      <c r="AJ628">
        <v>12</v>
      </c>
      <c r="AK628">
        <v>5</v>
      </c>
      <c r="AL628">
        <v>8</v>
      </c>
      <c r="AM628">
        <v>4</v>
      </c>
      <c r="AN628" t="s">
        <v>2717</v>
      </c>
      <c r="AO628" t="s">
        <v>2718</v>
      </c>
      <c r="AP628">
        <v>9.7000000000000003E-2</v>
      </c>
      <c r="AQ628" t="s">
        <v>69</v>
      </c>
      <c r="AR628">
        <v>20</v>
      </c>
      <c r="AS628">
        <v>9</v>
      </c>
      <c r="AT628">
        <v>3.4599999999999999E-2</v>
      </c>
      <c r="AU628">
        <v>-4.5900000000000003E-3</v>
      </c>
      <c r="AV628">
        <v>0.11118</v>
      </c>
      <c r="AW628">
        <v>-1.5709999999999998E-2</v>
      </c>
      <c r="AX628">
        <v>1.4630000000000001E-2</v>
      </c>
      <c r="AY628">
        <v>-2.7299999999999998E-3</v>
      </c>
      <c r="AZ628">
        <v>0.13159000000000001</v>
      </c>
      <c r="BA628">
        <v>1</v>
      </c>
      <c r="BB628" t="s">
        <v>70</v>
      </c>
      <c r="BC628">
        <v>0.14399999999999999</v>
      </c>
      <c r="BD628">
        <v>-0.13300000000000001</v>
      </c>
      <c r="BE628" t="s">
        <v>71</v>
      </c>
    </row>
    <row r="629" spans="1:57">
      <c r="A629">
        <v>2811</v>
      </c>
      <c r="B629" t="s">
        <v>2719</v>
      </c>
      <c r="D629" t="s">
        <v>66</v>
      </c>
      <c r="E629" t="s">
        <v>2720</v>
      </c>
      <c r="F629" t="s">
        <v>2721</v>
      </c>
      <c r="G629">
        <v>734</v>
      </c>
      <c r="H629" t="s">
        <v>63</v>
      </c>
      <c r="I629">
        <v>5</v>
      </c>
      <c r="J629" t="str">
        <f>HYPERLINK("Gene2811-zp_tree_all.dnd", "Gene2811-tree")</f>
        <v>Gene2811-tree</v>
      </c>
      <c r="K629">
        <v>4</v>
      </c>
      <c r="L629">
        <v>1</v>
      </c>
      <c r="M629">
        <v>4</v>
      </c>
      <c r="N629">
        <v>1</v>
      </c>
      <c r="O629">
        <v>0.2</v>
      </c>
      <c r="P629" t="s">
        <v>64</v>
      </c>
      <c r="Q629" t="s">
        <v>65</v>
      </c>
      <c r="R629" t="s">
        <v>66</v>
      </c>
      <c r="S629" t="s">
        <v>66</v>
      </c>
      <c r="T629">
        <v>0</v>
      </c>
      <c r="U629">
        <v>0</v>
      </c>
      <c r="V629">
        <v>4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0</v>
      </c>
      <c r="AC629">
        <v>0</v>
      </c>
      <c r="AD629">
        <v>0</v>
      </c>
      <c r="AE629">
        <v>0</v>
      </c>
      <c r="AF629">
        <v>1</v>
      </c>
      <c r="AG629">
        <v>0</v>
      </c>
      <c r="AH629">
        <v>5</v>
      </c>
      <c r="AI629">
        <v>2</v>
      </c>
      <c r="AJ629">
        <v>78</v>
      </c>
      <c r="AK629">
        <v>1</v>
      </c>
      <c r="AL629">
        <v>69</v>
      </c>
      <c r="AM629">
        <v>3</v>
      </c>
      <c r="AN629" t="s">
        <v>2722</v>
      </c>
      <c r="AO629" t="s">
        <v>2723</v>
      </c>
      <c r="AP629">
        <v>0.52600000000000002</v>
      </c>
      <c r="AQ629" t="s">
        <v>69</v>
      </c>
      <c r="AR629">
        <v>147</v>
      </c>
      <c r="AS629">
        <v>4</v>
      </c>
      <c r="AT629">
        <v>3.2649999999999998E-2</v>
      </c>
      <c r="AU629">
        <v>-4.62E-3</v>
      </c>
      <c r="AV629">
        <v>0.16217999999999999</v>
      </c>
      <c r="AW629">
        <v>-2.4129999999999999E-2</v>
      </c>
      <c r="AX629">
        <v>1.4E-3</v>
      </c>
      <c r="AY629">
        <v>-2.9999999999999997E-4</v>
      </c>
      <c r="AZ629">
        <v>8.6400000000000001E-3</v>
      </c>
      <c r="BA629">
        <v>1</v>
      </c>
      <c r="BB629" t="s">
        <v>70</v>
      </c>
      <c r="BC629">
        <v>0.47499999999999998</v>
      </c>
      <c r="BD629">
        <v>0.26100000000000001</v>
      </c>
      <c r="BE629" t="s">
        <v>71</v>
      </c>
    </row>
    <row r="630" spans="1:57">
      <c r="A630">
        <v>2812</v>
      </c>
      <c r="B630" t="s">
        <v>2724</v>
      </c>
      <c r="D630" t="s">
        <v>66</v>
      </c>
      <c r="E630" t="s">
        <v>2725</v>
      </c>
      <c r="F630" t="s">
        <v>2726</v>
      </c>
      <c r="G630">
        <v>170</v>
      </c>
      <c r="H630" t="s">
        <v>63</v>
      </c>
      <c r="I630">
        <v>5</v>
      </c>
      <c r="J630" t="str">
        <f>HYPERLINK("Gene2812-zp_tree_all.dnd", "Gene2812-tree")</f>
        <v>Gene2812-tree</v>
      </c>
      <c r="K630">
        <v>2</v>
      </c>
      <c r="L630">
        <v>3</v>
      </c>
      <c r="M630">
        <v>2</v>
      </c>
      <c r="N630">
        <v>3</v>
      </c>
      <c r="O630">
        <v>0.6</v>
      </c>
      <c r="P630" t="s">
        <v>124</v>
      </c>
      <c r="Q630" t="s">
        <v>86</v>
      </c>
      <c r="R630" t="s">
        <v>66</v>
      </c>
      <c r="S630" t="s">
        <v>66</v>
      </c>
      <c r="T630">
        <v>1</v>
      </c>
      <c r="U630">
        <v>2</v>
      </c>
      <c r="V630">
        <v>2</v>
      </c>
      <c r="W630">
        <v>0.5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2</v>
      </c>
      <c r="AE630">
        <v>2</v>
      </c>
      <c r="AF630">
        <v>2</v>
      </c>
      <c r="AG630">
        <v>0.5</v>
      </c>
      <c r="AH630">
        <v>4</v>
      </c>
      <c r="AI630">
        <v>1</v>
      </c>
      <c r="AJ630">
        <v>6</v>
      </c>
      <c r="AK630">
        <v>3</v>
      </c>
      <c r="AL630">
        <v>13</v>
      </c>
      <c r="AM630">
        <v>1</v>
      </c>
      <c r="AN630" t="s">
        <v>2727</v>
      </c>
      <c r="AO630" t="s">
        <v>2728</v>
      </c>
      <c r="AP630">
        <v>1.9159999999999999</v>
      </c>
      <c r="AQ630" t="s">
        <v>69</v>
      </c>
      <c r="AR630">
        <v>19</v>
      </c>
      <c r="AS630">
        <v>4</v>
      </c>
      <c r="AT630">
        <v>2.3529999999999999E-2</v>
      </c>
      <c r="AU630">
        <v>-4.79E-3</v>
      </c>
      <c r="AV630">
        <v>9.0300000000000005E-2</v>
      </c>
      <c r="AW630">
        <v>-1.9900000000000001E-2</v>
      </c>
      <c r="AX630">
        <v>4.6699999999999997E-3</v>
      </c>
      <c r="AY630">
        <v>-7.2000000000000005E-4</v>
      </c>
      <c r="AZ630">
        <v>5.1749999999999997E-2</v>
      </c>
      <c r="BA630">
        <v>1</v>
      </c>
      <c r="BB630" t="s">
        <v>70</v>
      </c>
      <c r="BC630">
        <v>0.64600000000000002</v>
      </c>
      <c r="BD630">
        <v>0.64600000000000002</v>
      </c>
      <c r="BE630" t="s">
        <v>71</v>
      </c>
    </row>
    <row r="631" spans="1:57">
      <c r="A631">
        <v>2817</v>
      </c>
      <c r="B631" t="s">
        <v>2729</v>
      </c>
      <c r="D631" t="s">
        <v>66</v>
      </c>
      <c r="E631" t="s">
        <v>2730</v>
      </c>
      <c r="F631" t="s">
        <v>2731</v>
      </c>
      <c r="G631">
        <v>98</v>
      </c>
      <c r="H631" t="s">
        <v>63</v>
      </c>
      <c r="I631">
        <v>5</v>
      </c>
      <c r="J631" t="str">
        <f>HYPERLINK("Gene2817-zp_tree_all.dnd", "Gene2817-tree")</f>
        <v>Gene2817-tree</v>
      </c>
      <c r="K631">
        <v>0</v>
      </c>
      <c r="L631">
        <v>5</v>
      </c>
      <c r="M631">
        <v>0</v>
      </c>
      <c r="N631">
        <v>5</v>
      </c>
      <c r="O631">
        <v>1</v>
      </c>
      <c r="P631" t="s">
        <v>66</v>
      </c>
      <c r="Q631" t="s">
        <v>96</v>
      </c>
      <c r="R631" t="s">
        <v>66</v>
      </c>
      <c r="S631" t="s">
        <v>66</v>
      </c>
      <c r="T631">
        <v>1</v>
      </c>
      <c r="U631">
        <v>2</v>
      </c>
      <c r="V631">
        <v>4</v>
      </c>
      <c r="W631">
        <v>0.33333000000000002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2</v>
      </c>
      <c r="AE631">
        <v>2</v>
      </c>
      <c r="AF631">
        <v>4</v>
      </c>
      <c r="AG631">
        <v>0.33333000000000002</v>
      </c>
      <c r="AH631">
        <v>2</v>
      </c>
      <c r="AI631">
        <v>2</v>
      </c>
      <c r="AJ631">
        <v>0</v>
      </c>
      <c r="AK631">
        <v>2</v>
      </c>
      <c r="AL631">
        <v>6</v>
      </c>
      <c r="AM631">
        <v>4</v>
      </c>
      <c r="AN631" t="s">
        <v>68</v>
      </c>
      <c r="AO631" t="s">
        <v>2732</v>
      </c>
      <c r="AP631">
        <v>1.129</v>
      </c>
      <c r="AQ631" t="s">
        <v>69</v>
      </c>
      <c r="AR631">
        <v>6</v>
      </c>
      <c r="AS631">
        <v>6</v>
      </c>
      <c r="AT631">
        <v>2.3369999999999998E-2</v>
      </c>
      <c r="AU631">
        <v>-5.0000000000000001E-3</v>
      </c>
      <c r="AV631">
        <v>6.2309999999999997E-2</v>
      </c>
      <c r="AW631">
        <v>-1.4829999999999999E-2</v>
      </c>
      <c r="AX631">
        <v>1.414E-2</v>
      </c>
      <c r="AY631">
        <v>-2.5000000000000001E-3</v>
      </c>
      <c r="AZ631">
        <v>0.22691</v>
      </c>
      <c r="BA631">
        <v>0.93799999999999994</v>
      </c>
      <c r="BB631" t="s">
        <v>188</v>
      </c>
      <c r="BC631">
        <v>1.306</v>
      </c>
      <c r="BD631">
        <v>1.306</v>
      </c>
      <c r="BE631" t="s">
        <v>71</v>
      </c>
    </row>
    <row r="632" spans="1:57">
      <c r="A632">
        <v>2821</v>
      </c>
      <c r="B632" t="s">
        <v>2733</v>
      </c>
      <c r="D632" t="s">
        <v>66</v>
      </c>
      <c r="E632" t="s">
        <v>2734</v>
      </c>
      <c r="F632" t="s">
        <v>2735</v>
      </c>
      <c r="G632">
        <v>88</v>
      </c>
      <c r="H632" t="s">
        <v>63</v>
      </c>
      <c r="I632">
        <v>5</v>
      </c>
      <c r="J632" t="str">
        <f>HYPERLINK("Gene2821-zp_tree_all.dnd", "Gene2821-tree")</f>
        <v>Gene2821-tree</v>
      </c>
      <c r="K632">
        <v>3</v>
      </c>
      <c r="L632">
        <v>2</v>
      </c>
      <c r="M632">
        <v>2</v>
      </c>
      <c r="N632">
        <v>2</v>
      </c>
      <c r="O632">
        <v>0.5</v>
      </c>
      <c r="P632" t="s">
        <v>185</v>
      </c>
      <c r="Q632" t="s">
        <v>124</v>
      </c>
      <c r="R632" t="s">
        <v>66</v>
      </c>
      <c r="S632" t="s">
        <v>66</v>
      </c>
      <c r="T632">
        <v>0</v>
      </c>
      <c r="U632">
        <v>0</v>
      </c>
      <c r="V632">
        <v>3</v>
      </c>
      <c r="W632">
        <v>0</v>
      </c>
      <c r="X632">
        <v>0</v>
      </c>
      <c r="Y632">
        <v>0</v>
      </c>
      <c r="Z632">
        <v>0</v>
      </c>
      <c r="AA632">
        <v>2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2</v>
      </c>
      <c r="AI632">
        <v>1</v>
      </c>
      <c r="AJ632">
        <v>2</v>
      </c>
      <c r="AK632">
        <v>1</v>
      </c>
      <c r="AL632">
        <v>3</v>
      </c>
      <c r="AM632">
        <v>2</v>
      </c>
      <c r="AN632" t="s">
        <v>2736</v>
      </c>
      <c r="AO632" t="s">
        <v>2737</v>
      </c>
      <c r="AP632">
        <v>0.437</v>
      </c>
      <c r="AQ632" t="s">
        <v>69</v>
      </c>
      <c r="AR632">
        <v>5</v>
      </c>
      <c r="AS632">
        <v>3</v>
      </c>
      <c r="AT632">
        <v>1.831E-2</v>
      </c>
      <c r="AU632">
        <v>-3.9300000000000003E-3</v>
      </c>
      <c r="AV632">
        <v>4.9639999999999997E-2</v>
      </c>
      <c r="AW632">
        <v>-1.0529999999999999E-2</v>
      </c>
      <c r="AX632">
        <v>9.1999999999999998E-3</v>
      </c>
      <c r="AY632">
        <v>-1.56E-3</v>
      </c>
      <c r="AZ632">
        <v>0.18525</v>
      </c>
      <c r="BA632">
        <v>0.98799999999999999</v>
      </c>
      <c r="BB632" t="s">
        <v>70</v>
      </c>
      <c r="BC632">
        <v>1.028</v>
      </c>
      <c r="BD632">
        <v>1.028</v>
      </c>
      <c r="BE632" t="s">
        <v>71</v>
      </c>
    </row>
    <row r="633" spans="1:57">
      <c r="A633">
        <v>2822</v>
      </c>
      <c r="B633" t="s">
        <v>2738</v>
      </c>
      <c r="D633" t="s">
        <v>66</v>
      </c>
      <c r="E633" t="s">
        <v>2739</v>
      </c>
      <c r="F633" t="s">
        <v>2740</v>
      </c>
      <c r="G633">
        <v>381</v>
      </c>
      <c r="H633" t="s">
        <v>85</v>
      </c>
      <c r="I633">
        <v>4</v>
      </c>
      <c r="J633" t="str">
        <f>HYPERLINK("Gene2822-zp_tree_all.dnd", "Gene2822-tree")</f>
        <v>Gene2822-tree</v>
      </c>
      <c r="K633">
        <v>3</v>
      </c>
      <c r="L633">
        <v>1</v>
      </c>
      <c r="M633">
        <v>3</v>
      </c>
      <c r="N633">
        <v>1</v>
      </c>
      <c r="O633">
        <v>0.25</v>
      </c>
      <c r="P633" t="s">
        <v>86</v>
      </c>
      <c r="Q633" t="s">
        <v>65</v>
      </c>
      <c r="R633" t="s">
        <v>66</v>
      </c>
      <c r="S633" t="s">
        <v>66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1</v>
      </c>
      <c r="AG633">
        <v>0</v>
      </c>
      <c r="AH633">
        <v>4</v>
      </c>
      <c r="AI633">
        <v>1</v>
      </c>
      <c r="AJ633">
        <v>57</v>
      </c>
      <c r="AK633">
        <v>1</v>
      </c>
      <c r="AL633">
        <v>7</v>
      </c>
      <c r="AM633">
        <v>0</v>
      </c>
      <c r="AN633" t="s">
        <v>2741</v>
      </c>
      <c r="AO633" t="s">
        <v>68</v>
      </c>
      <c r="AP633">
        <v>0.38400000000000001</v>
      </c>
      <c r="AQ633" t="s">
        <v>69</v>
      </c>
      <c r="AR633">
        <v>64</v>
      </c>
      <c r="AS633">
        <v>1</v>
      </c>
      <c r="AT633">
        <v>2.887E-2</v>
      </c>
      <c r="AU633">
        <v>-8.5599999999999999E-3</v>
      </c>
      <c r="AV633">
        <v>0.14574000000000001</v>
      </c>
      <c r="AW633">
        <v>-4.4690000000000001E-2</v>
      </c>
      <c r="AX633">
        <v>5.6999999999999998E-4</v>
      </c>
      <c r="AY633">
        <v>-2.3000000000000001E-4</v>
      </c>
      <c r="AZ633">
        <v>3.8800000000000002E-3</v>
      </c>
      <c r="BA633">
        <v>1</v>
      </c>
      <c r="BB633" t="s">
        <v>70</v>
      </c>
      <c r="BC633">
        <v>-0.41399999999999998</v>
      </c>
      <c r="BD633">
        <v>-0.56599999999999995</v>
      </c>
      <c r="BE633" t="s">
        <v>71</v>
      </c>
    </row>
    <row r="634" spans="1:57">
      <c r="A634">
        <v>2824</v>
      </c>
      <c r="B634" t="s">
        <v>2742</v>
      </c>
      <c r="D634" t="s">
        <v>66</v>
      </c>
      <c r="E634" t="s">
        <v>2743</v>
      </c>
      <c r="F634" t="s">
        <v>74</v>
      </c>
      <c r="G634">
        <v>66</v>
      </c>
      <c r="H634" t="s">
        <v>63</v>
      </c>
      <c r="I634">
        <v>5</v>
      </c>
      <c r="J634" t="str">
        <f>HYPERLINK("Gene2824-zp_tree_all.dnd", "Gene2824-tree")</f>
        <v>Gene2824-tree</v>
      </c>
      <c r="K634">
        <v>4</v>
      </c>
      <c r="L634">
        <v>1</v>
      </c>
      <c r="M634">
        <v>4</v>
      </c>
      <c r="N634">
        <v>1</v>
      </c>
      <c r="O634">
        <v>0.2</v>
      </c>
      <c r="P634" t="s">
        <v>64</v>
      </c>
      <c r="Q634" t="s">
        <v>65</v>
      </c>
      <c r="R634" t="s">
        <v>66</v>
      </c>
      <c r="S634" t="s">
        <v>66</v>
      </c>
      <c r="T634">
        <v>0</v>
      </c>
      <c r="U634">
        <v>0</v>
      </c>
      <c r="V634">
        <v>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1</v>
      </c>
      <c r="AG634">
        <v>0</v>
      </c>
      <c r="AH634">
        <v>4</v>
      </c>
      <c r="AI634">
        <v>2</v>
      </c>
      <c r="AJ634">
        <v>5</v>
      </c>
      <c r="AK634">
        <v>1</v>
      </c>
      <c r="AL634">
        <v>7</v>
      </c>
      <c r="AM634">
        <v>0</v>
      </c>
      <c r="AN634" t="s">
        <v>2744</v>
      </c>
      <c r="AO634" t="s">
        <v>68</v>
      </c>
      <c r="AP634">
        <v>0.58099999999999996</v>
      </c>
      <c r="AQ634" t="s">
        <v>69</v>
      </c>
      <c r="AR634">
        <v>12</v>
      </c>
      <c r="AS634">
        <v>1</v>
      </c>
      <c r="AT634">
        <v>3.1820000000000001E-2</v>
      </c>
      <c r="AU634">
        <v>-4.4600000000000004E-3</v>
      </c>
      <c r="AV634">
        <v>0.15051999999999999</v>
      </c>
      <c r="AW634">
        <v>-2.436E-2</v>
      </c>
      <c r="AX634">
        <v>2.6099999999999999E-3</v>
      </c>
      <c r="AY634">
        <v>-9.1E-4</v>
      </c>
      <c r="AZ634">
        <v>1.737E-2</v>
      </c>
      <c r="BA634">
        <v>1</v>
      </c>
      <c r="BB634" t="s">
        <v>70</v>
      </c>
      <c r="BC634">
        <v>0.67800000000000005</v>
      </c>
      <c r="BD634">
        <v>0.05</v>
      </c>
      <c r="BE634" t="s">
        <v>71</v>
      </c>
    </row>
    <row r="635" spans="1:57">
      <c r="A635">
        <v>2843</v>
      </c>
      <c r="B635" t="s">
        <v>2747</v>
      </c>
      <c r="D635" t="s">
        <v>66</v>
      </c>
      <c r="E635" t="s">
        <v>2748</v>
      </c>
      <c r="F635" t="s">
        <v>74</v>
      </c>
      <c r="G635">
        <v>147</v>
      </c>
      <c r="H635" t="s">
        <v>63</v>
      </c>
      <c r="I635">
        <v>5</v>
      </c>
      <c r="J635" t="str">
        <f>HYPERLINK("Gene2843-zp_tree_all.dnd", "Gene2843-tree")</f>
        <v>Gene2843-tree</v>
      </c>
      <c r="K635">
        <v>5</v>
      </c>
      <c r="L635">
        <v>0</v>
      </c>
      <c r="M635">
        <v>5</v>
      </c>
      <c r="N635">
        <v>0</v>
      </c>
      <c r="O635">
        <v>0</v>
      </c>
      <c r="P635" t="s">
        <v>96</v>
      </c>
      <c r="Q635" t="s">
        <v>66</v>
      </c>
      <c r="R635" t="s">
        <v>66</v>
      </c>
      <c r="S635" t="s">
        <v>66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5</v>
      </c>
      <c r="AI635">
        <v>2</v>
      </c>
      <c r="AJ635">
        <v>15</v>
      </c>
      <c r="AK635">
        <v>0</v>
      </c>
      <c r="AL635">
        <v>12</v>
      </c>
      <c r="AM635">
        <v>0</v>
      </c>
      <c r="AN635" t="s">
        <v>68</v>
      </c>
      <c r="AO635" t="s">
        <v>68</v>
      </c>
      <c r="AP635">
        <v>0</v>
      </c>
      <c r="AQ635" t="s">
        <v>69</v>
      </c>
      <c r="AR635">
        <v>27</v>
      </c>
      <c r="AS635">
        <v>0</v>
      </c>
      <c r="AT635">
        <v>2.9929999999999998E-2</v>
      </c>
      <c r="AU635">
        <v>-3.5500000000000002E-3</v>
      </c>
      <c r="AV635">
        <v>0.15064</v>
      </c>
      <c r="AW635">
        <v>-1.8749999999999999E-2</v>
      </c>
      <c r="AX635">
        <v>0</v>
      </c>
      <c r="AY635">
        <v>0</v>
      </c>
      <c r="AZ635">
        <v>0</v>
      </c>
      <c r="BA635">
        <v>1</v>
      </c>
      <c r="BB635" t="s">
        <v>70</v>
      </c>
      <c r="BC635">
        <v>0.13800000000000001</v>
      </c>
      <c r="BD635">
        <v>0.13800000000000001</v>
      </c>
      <c r="BE635" t="s">
        <v>71</v>
      </c>
    </row>
    <row r="636" spans="1:57">
      <c r="A636">
        <v>2845</v>
      </c>
      <c r="B636" t="s">
        <v>2754</v>
      </c>
      <c r="D636" t="s">
        <v>66</v>
      </c>
      <c r="E636" t="s">
        <v>2755</v>
      </c>
      <c r="F636" t="s">
        <v>2756</v>
      </c>
      <c r="G636">
        <v>192</v>
      </c>
      <c r="H636" t="s">
        <v>63</v>
      </c>
      <c r="I636">
        <v>5</v>
      </c>
      <c r="J636" t="str">
        <f>HYPERLINK("Gene2845-zp_tree_all.dnd", "Gene2845-tree")</f>
        <v>Gene2845-tree</v>
      </c>
      <c r="K636">
        <v>4</v>
      </c>
      <c r="L636">
        <v>1</v>
      </c>
      <c r="M636">
        <v>4</v>
      </c>
      <c r="N636">
        <v>1</v>
      </c>
      <c r="O636">
        <v>0.2</v>
      </c>
      <c r="P636" t="s">
        <v>64</v>
      </c>
      <c r="Q636" t="s">
        <v>65</v>
      </c>
      <c r="R636" t="s">
        <v>66</v>
      </c>
      <c r="S636" t="s">
        <v>66</v>
      </c>
      <c r="T636">
        <v>0</v>
      </c>
      <c r="U636">
        <v>0</v>
      </c>
      <c r="V636">
        <v>2</v>
      </c>
      <c r="W636">
        <v>0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1</v>
      </c>
      <c r="AG636">
        <v>0</v>
      </c>
      <c r="AH636">
        <v>5</v>
      </c>
      <c r="AI636">
        <v>2</v>
      </c>
      <c r="AJ636">
        <v>11</v>
      </c>
      <c r="AK636">
        <v>1</v>
      </c>
      <c r="AL636">
        <v>6</v>
      </c>
      <c r="AM636">
        <v>1</v>
      </c>
      <c r="AN636" t="s">
        <v>2757</v>
      </c>
      <c r="AO636" t="s">
        <v>2758</v>
      </c>
      <c r="AP636">
        <v>0.34499999999999997</v>
      </c>
      <c r="AQ636" t="s">
        <v>69</v>
      </c>
      <c r="AR636">
        <v>17</v>
      </c>
      <c r="AS636">
        <v>2</v>
      </c>
      <c r="AT636">
        <v>1.5789999999999998E-2</v>
      </c>
      <c r="AU636">
        <v>-1.8600000000000001E-3</v>
      </c>
      <c r="AV636">
        <v>7.1239999999999998E-2</v>
      </c>
      <c r="AW636">
        <v>-8.4600000000000005E-3</v>
      </c>
      <c r="AX636">
        <v>2.2200000000000002E-3</v>
      </c>
      <c r="AY636">
        <v>-5.4000000000000001E-4</v>
      </c>
      <c r="AZ636">
        <v>3.116E-2</v>
      </c>
      <c r="BA636">
        <v>1</v>
      </c>
      <c r="BB636" t="s">
        <v>70</v>
      </c>
      <c r="BC636">
        <v>-9.7000000000000003E-2</v>
      </c>
      <c r="BD636">
        <v>-9.7000000000000003E-2</v>
      </c>
      <c r="BE636" t="s">
        <v>71</v>
      </c>
    </row>
    <row r="637" spans="1:57">
      <c r="A637">
        <v>2847</v>
      </c>
      <c r="B637" t="s">
        <v>2762</v>
      </c>
      <c r="D637" t="s">
        <v>66</v>
      </c>
      <c r="E637" t="s">
        <v>2763</v>
      </c>
      <c r="F637" t="s">
        <v>74</v>
      </c>
      <c r="G637">
        <v>112</v>
      </c>
      <c r="H637" t="s">
        <v>85</v>
      </c>
      <c r="I637">
        <v>4</v>
      </c>
      <c r="J637" t="str">
        <f>HYPERLINK("Gene2847-zp_tree_all.dnd", "Gene2847-tree")</f>
        <v>Gene2847-tree</v>
      </c>
      <c r="K637">
        <v>2</v>
      </c>
      <c r="L637">
        <v>2</v>
      </c>
      <c r="M637">
        <v>2</v>
      </c>
      <c r="N637">
        <v>2</v>
      </c>
      <c r="O637">
        <v>0.5</v>
      </c>
      <c r="P637" t="s">
        <v>124</v>
      </c>
      <c r="Q637" t="s">
        <v>124</v>
      </c>
      <c r="R637" t="s">
        <v>66</v>
      </c>
      <c r="S637" t="s">
        <v>66</v>
      </c>
      <c r="T637">
        <v>0</v>
      </c>
      <c r="U637">
        <v>0</v>
      </c>
      <c r="V637">
        <v>3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3</v>
      </c>
      <c r="AG637">
        <v>0</v>
      </c>
      <c r="AH637">
        <v>3</v>
      </c>
      <c r="AI637">
        <v>1</v>
      </c>
      <c r="AJ637">
        <v>9</v>
      </c>
      <c r="AK637">
        <v>3</v>
      </c>
      <c r="AL637">
        <v>2</v>
      </c>
      <c r="AM637">
        <v>0</v>
      </c>
      <c r="AN637" t="s">
        <v>2764</v>
      </c>
      <c r="AO637" t="s">
        <v>68</v>
      </c>
      <c r="AP637">
        <v>1.917</v>
      </c>
      <c r="AQ637" t="s">
        <v>69</v>
      </c>
      <c r="AR637">
        <v>11</v>
      </c>
      <c r="AS637">
        <v>3</v>
      </c>
      <c r="AT637">
        <v>2.1829999999999999E-2</v>
      </c>
      <c r="AU637">
        <v>-3.7599999999999999E-3</v>
      </c>
      <c r="AV637">
        <v>7.8049999999999994E-2</v>
      </c>
      <c r="AW637">
        <v>-1.2840000000000001E-2</v>
      </c>
      <c r="AX637">
        <v>5.8799999999999998E-3</v>
      </c>
      <c r="AY637">
        <v>-1.5299999999999999E-3</v>
      </c>
      <c r="AZ637">
        <v>7.5289999999999996E-2</v>
      </c>
      <c r="BA637">
        <v>1</v>
      </c>
      <c r="BB637" t="s">
        <v>70</v>
      </c>
      <c r="BC637">
        <v>-0.40300000000000002</v>
      </c>
      <c r="BD637">
        <v>-0.40300000000000002</v>
      </c>
      <c r="BE637" t="s">
        <v>71</v>
      </c>
    </row>
    <row r="638" spans="1:57">
      <c r="A638">
        <v>2848</v>
      </c>
      <c r="B638" t="s">
        <v>2765</v>
      </c>
      <c r="D638" t="s">
        <v>66</v>
      </c>
      <c r="E638" t="s">
        <v>2766</v>
      </c>
      <c r="F638" t="s">
        <v>2767</v>
      </c>
      <c r="G638">
        <v>102</v>
      </c>
      <c r="H638" t="s">
        <v>63</v>
      </c>
      <c r="I638">
        <v>5</v>
      </c>
      <c r="J638" t="str">
        <f>HYPERLINK("Gene2848-zp_tree_all.dnd", "Gene2848-tree")</f>
        <v>Gene2848-tree</v>
      </c>
      <c r="K638">
        <v>0</v>
      </c>
      <c r="L638">
        <v>5</v>
      </c>
      <c r="M638">
        <v>0</v>
      </c>
      <c r="N638">
        <v>4</v>
      </c>
      <c r="O638">
        <v>1</v>
      </c>
      <c r="P638" t="s">
        <v>66</v>
      </c>
      <c r="Q638" t="s">
        <v>135</v>
      </c>
      <c r="R638">
        <v>3.1949999999999998</v>
      </c>
      <c r="S638" t="s">
        <v>69</v>
      </c>
      <c r="T638">
        <v>0</v>
      </c>
      <c r="U638">
        <v>0</v>
      </c>
      <c r="V638">
        <v>3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3</v>
      </c>
      <c r="AG638">
        <v>0</v>
      </c>
      <c r="AH638">
        <v>3</v>
      </c>
      <c r="AI638">
        <v>0</v>
      </c>
      <c r="AJ638">
        <v>5</v>
      </c>
      <c r="AK638">
        <v>3</v>
      </c>
      <c r="AL638">
        <v>0</v>
      </c>
      <c r="AM638">
        <v>0</v>
      </c>
      <c r="AN638" t="s">
        <v>2768</v>
      </c>
      <c r="AO638" t="s">
        <v>68</v>
      </c>
      <c r="AP638">
        <v>1.639</v>
      </c>
      <c r="AQ638" t="s">
        <v>69</v>
      </c>
      <c r="AR638">
        <v>5</v>
      </c>
      <c r="AS638">
        <v>3</v>
      </c>
      <c r="AT638">
        <v>1.307E-2</v>
      </c>
      <c r="AU638">
        <v>-2.8800000000000002E-3</v>
      </c>
      <c r="AV638">
        <v>3.6859999999999997E-2</v>
      </c>
      <c r="AW638">
        <v>-1.1509999999999999E-2</v>
      </c>
      <c r="AX638">
        <v>6.4000000000000003E-3</v>
      </c>
      <c r="AY638">
        <v>-8.7000000000000001E-4</v>
      </c>
      <c r="AZ638">
        <v>0.17363999999999999</v>
      </c>
      <c r="BA638">
        <v>0.98799999999999999</v>
      </c>
      <c r="BB638" t="s">
        <v>70</v>
      </c>
      <c r="BC638">
        <v>-1.1739999999999999</v>
      </c>
      <c r="BD638">
        <v>-1.1739999999999999</v>
      </c>
      <c r="BE638" t="s">
        <v>71</v>
      </c>
    </row>
    <row r="639" spans="1:57">
      <c r="A639">
        <v>2851</v>
      </c>
      <c r="B639" t="s">
        <v>2769</v>
      </c>
      <c r="D639" t="s">
        <v>66</v>
      </c>
      <c r="E639" t="s">
        <v>2770</v>
      </c>
      <c r="F639" t="s">
        <v>2771</v>
      </c>
      <c r="G639">
        <v>268</v>
      </c>
      <c r="H639" t="s">
        <v>63</v>
      </c>
      <c r="I639">
        <v>5</v>
      </c>
      <c r="J639" t="str">
        <f>HYPERLINK("Gene2851-zp_tree_all.dnd", "Gene2851-tree")</f>
        <v>Gene2851-tree</v>
      </c>
      <c r="K639">
        <v>3</v>
      </c>
      <c r="L639">
        <v>2</v>
      </c>
      <c r="M639">
        <v>3</v>
      </c>
      <c r="N639">
        <v>2</v>
      </c>
      <c r="O639">
        <v>0.4</v>
      </c>
      <c r="P639" t="s">
        <v>86</v>
      </c>
      <c r="Q639" t="s">
        <v>124</v>
      </c>
      <c r="R639" t="s">
        <v>66</v>
      </c>
      <c r="S639" t="s">
        <v>66</v>
      </c>
      <c r="T639">
        <v>0</v>
      </c>
      <c r="U639">
        <v>0</v>
      </c>
      <c r="V639">
        <v>6</v>
      </c>
      <c r="W639">
        <v>0</v>
      </c>
      <c r="X639">
        <v>0</v>
      </c>
      <c r="Y639">
        <v>0</v>
      </c>
      <c r="Z639">
        <v>0</v>
      </c>
      <c r="AA639">
        <v>2</v>
      </c>
      <c r="AB639">
        <v>0</v>
      </c>
      <c r="AC639">
        <v>0</v>
      </c>
      <c r="AD639">
        <v>0</v>
      </c>
      <c r="AE639">
        <v>0</v>
      </c>
      <c r="AF639">
        <v>4</v>
      </c>
      <c r="AG639">
        <v>0</v>
      </c>
      <c r="AH639">
        <v>5</v>
      </c>
      <c r="AI639">
        <v>2</v>
      </c>
      <c r="AJ639">
        <v>32</v>
      </c>
      <c r="AK639">
        <v>4</v>
      </c>
      <c r="AL639">
        <v>16</v>
      </c>
      <c r="AM639">
        <v>2</v>
      </c>
      <c r="AN639" t="s">
        <v>2772</v>
      </c>
      <c r="AO639" t="s">
        <v>2773</v>
      </c>
      <c r="AP639">
        <v>1.6E-2</v>
      </c>
      <c r="AQ639" t="s">
        <v>69</v>
      </c>
      <c r="AR639">
        <v>48</v>
      </c>
      <c r="AS639">
        <v>6</v>
      </c>
      <c r="AT639">
        <v>2.8979999999999999E-2</v>
      </c>
      <c r="AU639">
        <v>-3.5000000000000001E-3</v>
      </c>
      <c r="AV639">
        <v>0.12052</v>
      </c>
      <c r="AW639">
        <v>-1.545E-2</v>
      </c>
      <c r="AX639">
        <v>4.5500000000000002E-3</v>
      </c>
      <c r="AY639">
        <v>-8.1999999999999998E-4</v>
      </c>
      <c r="AZ639">
        <v>3.7769999999999998E-2</v>
      </c>
      <c r="BA639">
        <v>1</v>
      </c>
      <c r="BB639" t="s">
        <v>70</v>
      </c>
      <c r="BC639">
        <v>0.41599999999999998</v>
      </c>
      <c r="BD639">
        <v>0.109</v>
      </c>
      <c r="BE639" t="s">
        <v>71</v>
      </c>
    </row>
    <row r="640" spans="1:57">
      <c r="A640">
        <v>2852</v>
      </c>
      <c r="B640" t="s">
        <v>2774</v>
      </c>
      <c r="D640" t="s">
        <v>66</v>
      </c>
      <c r="E640" t="s">
        <v>2775</v>
      </c>
      <c r="F640" t="s">
        <v>2776</v>
      </c>
      <c r="G640">
        <v>226</v>
      </c>
      <c r="H640" t="s">
        <v>63</v>
      </c>
      <c r="I640">
        <v>5</v>
      </c>
      <c r="J640" t="str">
        <f>HYPERLINK("Gene2852-zp_tree_all.dnd", "Gene2852-tree")</f>
        <v>Gene2852-tree</v>
      </c>
      <c r="K640">
        <v>4</v>
      </c>
      <c r="L640">
        <v>1</v>
      </c>
      <c r="M640">
        <v>4</v>
      </c>
      <c r="N640">
        <v>1</v>
      </c>
      <c r="O640">
        <v>0.2</v>
      </c>
      <c r="P640" t="s">
        <v>64</v>
      </c>
      <c r="Q640" t="s">
        <v>65</v>
      </c>
      <c r="R640" t="s">
        <v>66</v>
      </c>
      <c r="S640" t="s">
        <v>66</v>
      </c>
      <c r="T640">
        <v>0</v>
      </c>
      <c r="U640">
        <v>0</v>
      </c>
      <c r="V640">
        <v>5</v>
      </c>
      <c r="W640">
        <v>0</v>
      </c>
      <c r="X640">
        <v>0</v>
      </c>
      <c r="Y640">
        <v>0</v>
      </c>
      <c r="Z640">
        <v>0</v>
      </c>
      <c r="AA640">
        <v>4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5</v>
      </c>
      <c r="AI640">
        <v>2</v>
      </c>
      <c r="AJ640">
        <v>14</v>
      </c>
      <c r="AK640">
        <v>1</v>
      </c>
      <c r="AL640">
        <v>12</v>
      </c>
      <c r="AM640">
        <v>4</v>
      </c>
      <c r="AN640" t="s">
        <v>2777</v>
      </c>
      <c r="AO640" t="s">
        <v>2778</v>
      </c>
      <c r="AP640">
        <v>0.79700000000000004</v>
      </c>
      <c r="AQ640" t="s">
        <v>69</v>
      </c>
      <c r="AR640">
        <v>26</v>
      </c>
      <c r="AS640">
        <v>5</v>
      </c>
      <c r="AT640">
        <v>2.2419999999999999E-2</v>
      </c>
      <c r="AU640">
        <v>-3.3E-3</v>
      </c>
      <c r="AV640">
        <v>8.6749999999999994E-2</v>
      </c>
      <c r="AW640">
        <v>-1.2109999999999999E-2</v>
      </c>
      <c r="AX640">
        <v>5.3600000000000002E-3</v>
      </c>
      <c r="AY640">
        <v>-1.0499999999999999E-3</v>
      </c>
      <c r="AZ640">
        <v>6.1809999999999997E-2</v>
      </c>
      <c r="BA640">
        <v>1</v>
      </c>
      <c r="BB640" t="s">
        <v>70</v>
      </c>
      <c r="BC640">
        <v>0.68700000000000006</v>
      </c>
      <c r="BD640">
        <v>0.47199999999999998</v>
      </c>
      <c r="BE640" t="s">
        <v>71</v>
      </c>
    </row>
    <row r="641" spans="1:57">
      <c r="A641">
        <v>2854</v>
      </c>
      <c r="B641" t="s">
        <v>2779</v>
      </c>
      <c r="D641" t="s">
        <v>66</v>
      </c>
      <c r="E641" t="s">
        <v>2780</v>
      </c>
      <c r="F641" t="s">
        <v>2781</v>
      </c>
      <c r="G641">
        <v>290</v>
      </c>
      <c r="H641" t="s">
        <v>63</v>
      </c>
      <c r="I641">
        <v>5</v>
      </c>
      <c r="J641" t="str">
        <f>HYPERLINK("Gene2854-zp_tree_all.dnd", "Gene2854-tree")</f>
        <v>Gene2854-tree</v>
      </c>
      <c r="K641">
        <v>5</v>
      </c>
      <c r="L641">
        <v>0</v>
      </c>
      <c r="M641">
        <v>5</v>
      </c>
      <c r="N641">
        <v>0</v>
      </c>
      <c r="O641">
        <v>0</v>
      </c>
      <c r="P641" t="s">
        <v>96</v>
      </c>
      <c r="Q641" t="s">
        <v>66</v>
      </c>
      <c r="R641" t="s">
        <v>66</v>
      </c>
      <c r="S641" t="s">
        <v>66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4</v>
      </c>
      <c r="AI641">
        <v>2</v>
      </c>
      <c r="AJ641">
        <v>22</v>
      </c>
      <c r="AK641">
        <v>0</v>
      </c>
      <c r="AL641">
        <v>21</v>
      </c>
      <c r="AM641">
        <v>1</v>
      </c>
      <c r="AN641" t="s">
        <v>68</v>
      </c>
      <c r="AO641" t="s">
        <v>2782</v>
      </c>
      <c r="AP641">
        <v>1.097</v>
      </c>
      <c r="AQ641" t="s">
        <v>69</v>
      </c>
      <c r="AR641">
        <v>43</v>
      </c>
      <c r="AS641">
        <v>1</v>
      </c>
      <c r="AT641">
        <v>2.4479999999999998E-2</v>
      </c>
      <c r="AU641">
        <v>-3.6700000000000001E-3</v>
      </c>
      <c r="AV641">
        <v>0.11641</v>
      </c>
      <c r="AW641">
        <v>-1.839E-2</v>
      </c>
      <c r="AX641">
        <v>8.8999999999999995E-4</v>
      </c>
      <c r="AY641">
        <v>-1.7000000000000001E-4</v>
      </c>
      <c r="AZ641">
        <v>7.6499999999999997E-3</v>
      </c>
      <c r="BA641">
        <v>1</v>
      </c>
      <c r="BB641" t="s">
        <v>70</v>
      </c>
      <c r="BC641">
        <v>0.42599999999999999</v>
      </c>
      <c r="BD641">
        <v>0.23899999999999999</v>
      </c>
      <c r="BE641" t="s">
        <v>71</v>
      </c>
    </row>
    <row r="642" spans="1:57">
      <c r="A642">
        <v>2855</v>
      </c>
      <c r="B642" t="s">
        <v>2783</v>
      </c>
      <c r="D642" t="s">
        <v>66</v>
      </c>
      <c r="E642" t="s">
        <v>2784</v>
      </c>
      <c r="F642" t="s">
        <v>2785</v>
      </c>
      <c r="G642">
        <v>337</v>
      </c>
      <c r="H642" t="s">
        <v>63</v>
      </c>
      <c r="I642">
        <v>5</v>
      </c>
      <c r="J642" t="str">
        <f>HYPERLINK("Gene2855-zp_tree_all.dnd", "Gene2855-tree")</f>
        <v>Gene2855-tree</v>
      </c>
      <c r="K642">
        <v>4</v>
      </c>
      <c r="L642">
        <v>1</v>
      </c>
      <c r="M642">
        <v>4</v>
      </c>
      <c r="N642">
        <v>1</v>
      </c>
      <c r="O642">
        <v>0.2</v>
      </c>
      <c r="P642" t="s">
        <v>64</v>
      </c>
      <c r="Q642" t="s">
        <v>65</v>
      </c>
      <c r="R642" t="s">
        <v>66</v>
      </c>
      <c r="S642" t="s">
        <v>66</v>
      </c>
      <c r="T642">
        <v>0</v>
      </c>
      <c r="U642">
        <v>0</v>
      </c>
      <c r="V642">
        <v>2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5</v>
      </c>
      <c r="AI642">
        <v>2</v>
      </c>
      <c r="AJ642">
        <v>27</v>
      </c>
      <c r="AK642">
        <v>1</v>
      </c>
      <c r="AL642">
        <v>40</v>
      </c>
      <c r="AM642">
        <v>2</v>
      </c>
      <c r="AN642" t="s">
        <v>2786</v>
      </c>
      <c r="AO642" t="s">
        <v>2787</v>
      </c>
      <c r="AP642">
        <v>0.10100000000000001</v>
      </c>
      <c r="AQ642" t="s">
        <v>69</v>
      </c>
      <c r="AR642">
        <v>67</v>
      </c>
      <c r="AS642">
        <v>3</v>
      </c>
      <c r="AT642">
        <v>3.5810000000000002E-2</v>
      </c>
      <c r="AU642">
        <v>-6.13E-3</v>
      </c>
      <c r="AV642">
        <v>0.16111</v>
      </c>
      <c r="AW642">
        <v>-2.8719999999999999E-2</v>
      </c>
      <c r="AX642">
        <v>2.0999999999999999E-3</v>
      </c>
      <c r="AY642">
        <v>-5.0000000000000001E-4</v>
      </c>
      <c r="AZ642">
        <v>1.302E-2</v>
      </c>
      <c r="BA642">
        <v>1</v>
      </c>
      <c r="BB642" t="s">
        <v>70</v>
      </c>
      <c r="BC642">
        <v>0.70399999999999996</v>
      </c>
      <c r="BD642">
        <v>0.61299999999999999</v>
      </c>
      <c r="BE642" t="s">
        <v>71</v>
      </c>
    </row>
    <row r="643" spans="1:57">
      <c r="A643">
        <v>2856</v>
      </c>
      <c r="B643" t="s">
        <v>2788</v>
      </c>
      <c r="D643" t="s">
        <v>66</v>
      </c>
      <c r="E643" t="s">
        <v>2789</v>
      </c>
      <c r="F643" t="s">
        <v>74</v>
      </c>
      <c r="G643">
        <v>231</v>
      </c>
      <c r="H643" t="s">
        <v>106</v>
      </c>
      <c r="I643">
        <v>4</v>
      </c>
      <c r="J643" t="str">
        <f>HYPERLINK("Gene2856-zp_tree_all.dnd", "Gene2856-tree")</f>
        <v>Gene2856-tree</v>
      </c>
      <c r="K643">
        <v>2</v>
      </c>
      <c r="L643">
        <v>2</v>
      </c>
      <c r="M643">
        <v>2</v>
      </c>
      <c r="N643">
        <v>2</v>
      </c>
      <c r="O643">
        <v>0.5</v>
      </c>
      <c r="P643" t="s">
        <v>124</v>
      </c>
      <c r="Q643" t="s">
        <v>124</v>
      </c>
      <c r="R643" t="s">
        <v>66</v>
      </c>
      <c r="S643" t="s">
        <v>66</v>
      </c>
      <c r="T643">
        <v>0</v>
      </c>
      <c r="U643">
        <v>0</v>
      </c>
      <c r="V643">
        <v>7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7</v>
      </c>
      <c r="AG643">
        <v>0</v>
      </c>
      <c r="AH643">
        <v>4</v>
      </c>
      <c r="AI643">
        <v>0</v>
      </c>
      <c r="AJ643">
        <v>32</v>
      </c>
      <c r="AK643">
        <v>7</v>
      </c>
      <c r="AL643">
        <v>0</v>
      </c>
      <c r="AM643">
        <v>0</v>
      </c>
      <c r="AN643" t="s">
        <v>2790</v>
      </c>
      <c r="AO643" t="s">
        <v>68</v>
      </c>
      <c r="AP643">
        <v>0.52200000000000002</v>
      </c>
      <c r="AQ643" t="s">
        <v>69</v>
      </c>
      <c r="AR643">
        <v>32</v>
      </c>
      <c r="AS643">
        <v>7</v>
      </c>
      <c r="AT643">
        <v>2.7660000000000001E-2</v>
      </c>
      <c r="AU643">
        <v>-8.5900000000000004E-3</v>
      </c>
      <c r="AV643">
        <v>0.11032</v>
      </c>
      <c r="AW643">
        <v>-3.4700000000000002E-2</v>
      </c>
      <c r="AX643">
        <v>6.6E-3</v>
      </c>
      <c r="AY643">
        <v>-2.2200000000000002E-3</v>
      </c>
      <c r="AZ643">
        <v>5.987E-2</v>
      </c>
      <c r="BA643">
        <v>1</v>
      </c>
      <c r="BB643" t="s">
        <v>70</v>
      </c>
      <c r="BC643">
        <v>-0.52200000000000002</v>
      </c>
      <c r="BD643">
        <v>-1.036</v>
      </c>
      <c r="BE643" t="s">
        <v>71</v>
      </c>
    </row>
    <row r="644" spans="1:57">
      <c r="A644">
        <v>2857</v>
      </c>
      <c r="B644" t="s">
        <v>2791</v>
      </c>
      <c r="D644" t="s">
        <v>66</v>
      </c>
      <c r="E644" t="s">
        <v>2792</v>
      </c>
      <c r="F644" t="s">
        <v>2793</v>
      </c>
      <c r="G644">
        <v>189</v>
      </c>
      <c r="H644" t="s">
        <v>63</v>
      </c>
      <c r="I644">
        <v>5</v>
      </c>
      <c r="J644" t="str">
        <f>HYPERLINK("Gene2857-zp_tree_all.dnd", "Gene2857-tree")</f>
        <v>Gene2857-tree</v>
      </c>
      <c r="K644">
        <v>3</v>
      </c>
      <c r="L644">
        <v>2</v>
      </c>
      <c r="M644">
        <v>3</v>
      </c>
      <c r="N644">
        <v>2</v>
      </c>
      <c r="O644">
        <v>0.4</v>
      </c>
      <c r="P644" t="s">
        <v>86</v>
      </c>
      <c r="Q644" t="s">
        <v>124</v>
      </c>
      <c r="R644" t="s">
        <v>66</v>
      </c>
      <c r="S644" t="s">
        <v>66</v>
      </c>
      <c r="T644">
        <v>0</v>
      </c>
      <c r="U644">
        <v>0</v>
      </c>
      <c r="V644">
        <v>11</v>
      </c>
      <c r="W644">
        <v>0</v>
      </c>
      <c r="X644">
        <v>0</v>
      </c>
      <c r="Y644">
        <v>0</v>
      </c>
      <c r="Z644">
        <v>0</v>
      </c>
      <c r="AA644">
        <v>5</v>
      </c>
      <c r="AB644">
        <v>0</v>
      </c>
      <c r="AC644">
        <v>0</v>
      </c>
      <c r="AD644">
        <v>0</v>
      </c>
      <c r="AE644">
        <v>0</v>
      </c>
      <c r="AF644">
        <v>6</v>
      </c>
      <c r="AG644">
        <v>0</v>
      </c>
      <c r="AH644">
        <v>5</v>
      </c>
      <c r="AI644">
        <v>2</v>
      </c>
      <c r="AJ644">
        <v>8</v>
      </c>
      <c r="AK644">
        <v>6</v>
      </c>
      <c r="AL644">
        <v>16</v>
      </c>
      <c r="AM644">
        <v>5</v>
      </c>
      <c r="AN644" t="s">
        <v>2794</v>
      </c>
      <c r="AO644" t="s">
        <v>2795</v>
      </c>
      <c r="AP644">
        <v>0.44400000000000001</v>
      </c>
      <c r="AQ644" t="s">
        <v>69</v>
      </c>
      <c r="AR644">
        <v>24</v>
      </c>
      <c r="AS644">
        <v>11</v>
      </c>
      <c r="AT644">
        <v>3.1390000000000001E-2</v>
      </c>
      <c r="AU644">
        <v>-5.8199999999999997E-3</v>
      </c>
      <c r="AV644">
        <v>0.10586</v>
      </c>
      <c r="AW644">
        <v>-1.985E-2</v>
      </c>
      <c r="AX644">
        <v>1.247E-2</v>
      </c>
      <c r="AY644">
        <v>-2.7699999999999999E-3</v>
      </c>
      <c r="AZ644">
        <v>0.1178</v>
      </c>
      <c r="BA644">
        <v>1</v>
      </c>
      <c r="BB644" t="s">
        <v>70</v>
      </c>
      <c r="BC644">
        <v>0.68</v>
      </c>
      <c r="BD644">
        <v>0.496</v>
      </c>
      <c r="BE644" t="s">
        <v>71</v>
      </c>
    </row>
    <row r="645" spans="1:57">
      <c r="A645">
        <v>2866</v>
      </c>
      <c r="B645" t="s">
        <v>2798</v>
      </c>
      <c r="D645" t="s">
        <v>66</v>
      </c>
      <c r="E645" t="s">
        <v>2799</v>
      </c>
      <c r="F645" t="s">
        <v>2800</v>
      </c>
      <c r="G645">
        <v>324</v>
      </c>
      <c r="H645" t="s">
        <v>85</v>
      </c>
      <c r="I645">
        <v>4</v>
      </c>
      <c r="J645" t="str">
        <f>HYPERLINK("Gene2866-zp_tree_all.dnd", "Gene2866-tree")</f>
        <v>Gene2866-tree</v>
      </c>
      <c r="K645">
        <v>1</v>
      </c>
      <c r="L645">
        <v>3</v>
      </c>
      <c r="M645">
        <v>1</v>
      </c>
      <c r="N645">
        <v>3</v>
      </c>
      <c r="O645">
        <v>0.75</v>
      </c>
      <c r="P645" t="s">
        <v>65</v>
      </c>
      <c r="Q645" t="s">
        <v>86</v>
      </c>
      <c r="R645" t="s">
        <v>66</v>
      </c>
      <c r="S645" t="s">
        <v>66</v>
      </c>
      <c r="T645">
        <v>1</v>
      </c>
      <c r="U645">
        <v>2</v>
      </c>
      <c r="V645">
        <v>4</v>
      </c>
      <c r="W645">
        <v>0.33333000000000002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2</v>
      </c>
      <c r="AE645">
        <v>2</v>
      </c>
      <c r="AF645">
        <v>4</v>
      </c>
      <c r="AG645">
        <v>0.33333000000000002</v>
      </c>
      <c r="AH645">
        <v>4</v>
      </c>
      <c r="AI645">
        <v>1</v>
      </c>
      <c r="AJ645">
        <v>44</v>
      </c>
      <c r="AK645">
        <v>6</v>
      </c>
      <c r="AL645">
        <v>3</v>
      </c>
      <c r="AM645">
        <v>0</v>
      </c>
      <c r="AN645" t="s">
        <v>2801</v>
      </c>
      <c r="AO645" t="s">
        <v>68</v>
      </c>
      <c r="AP645">
        <v>1.0640000000000001</v>
      </c>
      <c r="AQ645" t="s">
        <v>69</v>
      </c>
      <c r="AR645">
        <v>47</v>
      </c>
      <c r="AS645">
        <v>6</v>
      </c>
      <c r="AT645">
        <v>2.726E-2</v>
      </c>
      <c r="AU645">
        <v>-6.43E-3</v>
      </c>
      <c r="AV645">
        <v>0.12021999999999999</v>
      </c>
      <c r="AW645">
        <v>-3.1419999999999997E-2</v>
      </c>
      <c r="AX645">
        <v>3.9899999999999996E-3</v>
      </c>
      <c r="AY645">
        <v>-6.9999999999999999E-4</v>
      </c>
      <c r="AZ645">
        <v>3.3210000000000003E-2</v>
      </c>
      <c r="BA645">
        <v>1</v>
      </c>
      <c r="BB645" t="s">
        <v>70</v>
      </c>
      <c r="BC645">
        <v>-0.49299999999999999</v>
      </c>
      <c r="BD645">
        <v>-0.68</v>
      </c>
      <c r="BE645" t="s">
        <v>71</v>
      </c>
    </row>
    <row r="646" spans="1:57">
      <c r="A646">
        <v>2869</v>
      </c>
      <c r="B646" t="s">
        <v>2802</v>
      </c>
      <c r="D646" t="s">
        <v>66</v>
      </c>
      <c r="E646" t="s">
        <v>2803</v>
      </c>
      <c r="F646" t="s">
        <v>2804</v>
      </c>
      <c r="G646">
        <v>276</v>
      </c>
      <c r="H646" t="s">
        <v>63</v>
      </c>
      <c r="I646">
        <v>5</v>
      </c>
      <c r="J646" t="str">
        <f>HYPERLINK("Gene2869-zp_tree_all.dnd", "Gene2869-tree")</f>
        <v>Gene2869-tree</v>
      </c>
      <c r="K646">
        <v>5</v>
      </c>
      <c r="L646">
        <v>0</v>
      </c>
      <c r="M646">
        <v>5</v>
      </c>
      <c r="N646">
        <v>0</v>
      </c>
      <c r="O646">
        <v>0</v>
      </c>
      <c r="P646" t="s">
        <v>96</v>
      </c>
      <c r="Q646" t="s">
        <v>66</v>
      </c>
      <c r="R646" t="s">
        <v>66</v>
      </c>
      <c r="S646" t="s">
        <v>66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5</v>
      </c>
      <c r="AI646">
        <v>2</v>
      </c>
      <c r="AJ646">
        <v>20</v>
      </c>
      <c r="AK646">
        <v>0</v>
      </c>
      <c r="AL646">
        <v>23</v>
      </c>
      <c r="AM646">
        <v>0</v>
      </c>
      <c r="AN646" t="s">
        <v>68</v>
      </c>
      <c r="AO646" t="s">
        <v>68</v>
      </c>
      <c r="AP646">
        <v>0</v>
      </c>
      <c r="AQ646" t="s">
        <v>69</v>
      </c>
      <c r="AR646">
        <v>43</v>
      </c>
      <c r="AS646">
        <v>0</v>
      </c>
      <c r="AT646">
        <v>2.5600000000000001E-2</v>
      </c>
      <c r="AU646">
        <v>-4.4600000000000004E-3</v>
      </c>
      <c r="AV646">
        <v>0.11570999999999999</v>
      </c>
      <c r="AW646">
        <v>-2.0830000000000001E-2</v>
      </c>
      <c r="AX646">
        <v>0</v>
      </c>
      <c r="AY646">
        <v>0</v>
      </c>
      <c r="AZ646">
        <v>0</v>
      </c>
      <c r="BA646">
        <v>1</v>
      </c>
      <c r="BB646" t="s">
        <v>70</v>
      </c>
      <c r="BC646">
        <v>0.78300000000000003</v>
      </c>
      <c r="BD646">
        <v>0.627</v>
      </c>
      <c r="BE646" t="s">
        <v>71</v>
      </c>
    </row>
    <row r="647" spans="1:57">
      <c r="A647">
        <v>2870</v>
      </c>
      <c r="B647" t="s">
        <v>2805</v>
      </c>
      <c r="D647" t="s">
        <v>66</v>
      </c>
      <c r="E647" t="s">
        <v>2806</v>
      </c>
      <c r="F647" t="s">
        <v>2807</v>
      </c>
      <c r="G647">
        <v>455</v>
      </c>
      <c r="H647" t="s">
        <v>63</v>
      </c>
      <c r="I647">
        <v>5</v>
      </c>
      <c r="J647" t="str">
        <f>HYPERLINK("Gene2870-zp_tree_all.dnd", "Gene2870-tree")</f>
        <v>Gene2870-tree</v>
      </c>
      <c r="K647">
        <v>2</v>
      </c>
      <c r="L647">
        <v>3</v>
      </c>
      <c r="M647">
        <v>2</v>
      </c>
      <c r="N647">
        <v>3</v>
      </c>
      <c r="O647">
        <v>0.6</v>
      </c>
      <c r="P647" t="s">
        <v>124</v>
      </c>
      <c r="Q647" t="s">
        <v>86</v>
      </c>
      <c r="R647" t="s">
        <v>66</v>
      </c>
      <c r="S647" t="s">
        <v>66</v>
      </c>
      <c r="T647">
        <v>1</v>
      </c>
      <c r="U647">
        <v>2</v>
      </c>
      <c r="V647">
        <v>5</v>
      </c>
      <c r="W647">
        <v>0.28571000000000002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</v>
      </c>
      <c r="AE647">
        <v>2</v>
      </c>
      <c r="AF647">
        <v>5</v>
      </c>
      <c r="AG647">
        <v>0.28571000000000002</v>
      </c>
      <c r="AH647">
        <v>5</v>
      </c>
      <c r="AI647">
        <v>2</v>
      </c>
      <c r="AJ647">
        <v>35</v>
      </c>
      <c r="AK647">
        <v>4</v>
      </c>
      <c r="AL647">
        <v>48</v>
      </c>
      <c r="AM647">
        <v>4</v>
      </c>
      <c r="AN647" t="s">
        <v>2808</v>
      </c>
      <c r="AO647" t="s">
        <v>2809</v>
      </c>
      <c r="AP647">
        <v>0.33900000000000002</v>
      </c>
      <c r="AQ647" t="s">
        <v>69</v>
      </c>
      <c r="AR647">
        <v>83</v>
      </c>
      <c r="AS647">
        <v>8</v>
      </c>
      <c r="AT647">
        <v>3.2750000000000001E-2</v>
      </c>
      <c r="AU647">
        <v>-5.7000000000000002E-3</v>
      </c>
      <c r="AV647">
        <v>0.15412999999999999</v>
      </c>
      <c r="AW647">
        <v>-2.8170000000000001E-2</v>
      </c>
      <c r="AX647">
        <v>3.7699999999999999E-3</v>
      </c>
      <c r="AY647">
        <v>-7.1000000000000002E-4</v>
      </c>
      <c r="AZ647">
        <v>2.4490000000000001E-2</v>
      </c>
      <c r="BA647">
        <v>1</v>
      </c>
      <c r="BB647" t="s">
        <v>70</v>
      </c>
      <c r="BC647">
        <v>0.92600000000000005</v>
      </c>
      <c r="BD647">
        <v>0.41099999999999998</v>
      </c>
      <c r="BE647" t="s">
        <v>71</v>
      </c>
    </row>
    <row r="648" spans="1:57">
      <c r="A648">
        <v>2875</v>
      </c>
      <c r="B648" t="s">
        <v>2810</v>
      </c>
      <c r="D648" t="s">
        <v>66</v>
      </c>
      <c r="E648" t="s">
        <v>2811</v>
      </c>
      <c r="F648" t="s">
        <v>2812</v>
      </c>
      <c r="G648">
        <v>420</v>
      </c>
      <c r="H648" t="s">
        <v>63</v>
      </c>
      <c r="I648">
        <v>5</v>
      </c>
      <c r="J648" t="str">
        <f>HYPERLINK("Gene2875-zp_tree_all.dnd", "Gene2875-tree")</f>
        <v>Gene2875-tree</v>
      </c>
      <c r="K648">
        <v>5</v>
      </c>
      <c r="L648">
        <v>0</v>
      </c>
      <c r="M648">
        <v>5</v>
      </c>
      <c r="N648">
        <v>0</v>
      </c>
      <c r="O648">
        <v>0</v>
      </c>
      <c r="P648" t="s">
        <v>96</v>
      </c>
      <c r="Q648" t="s">
        <v>66</v>
      </c>
      <c r="R648" t="s">
        <v>66</v>
      </c>
      <c r="S648" t="s">
        <v>66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5</v>
      </c>
      <c r="AI648">
        <v>2</v>
      </c>
      <c r="AJ648">
        <v>25</v>
      </c>
      <c r="AK648">
        <v>0</v>
      </c>
      <c r="AL648">
        <v>36</v>
      </c>
      <c r="AM648">
        <v>1</v>
      </c>
      <c r="AN648" t="s">
        <v>68</v>
      </c>
      <c r="AO648" t="s">
        <v>2813</v>
      </c>
      <c r="AP648">
        <v>0.74399999999999999</v>
      </c>
      <c r="AQ648" t="s">
        <v>69</v>
      </c>
      <c r="AR648">
        <v>61</v>
      </c>
      <c r="AS648">
        <v>1</v>
      </c>
      <c r="AT648">
        <v>2.5080000000000002E-2</v>
      </c>
      <c r="AU648">
        <v>-4.7400000000000003E-3</v>
      </c>
      <c r="AV648">
        <v>0.12155000000000001</v>
      </c>
      <c r="AW648">
        <v>-2.3539999999999998E-2</v>
      </c>
      <c r="AX648">
        <v>6.2E-4</v>
      </c>
      <c r="AY648">
        <v>-1.4999999999999999E-4</v>
      </c>
      <c r="AZ648">
        <v>5.0600000000000003E-3</v>
      </c>
      <c r="BA648">
        <v>1</v>
      </c>
      <c r="BB648" t="s">
        <v>70</v>
      </c>
      <c r="BC648">
        <v>0.73499999999999999</v>
      </c>
      <c r="BD648">
        <v>0.47299999999999998</v>
      </c>
      <c r="BE648" t="s">
        <v>71</v>
      </c>
    </row>
    <row r="649" spans="1:57">
      <c r="A649">
        <v>2876</v>
      </c>
      <c r="B649" t="s">
        <v>2814</v>
      </c>
      <c r="D649" t="s">
        <v>66</v>
      </c>
      <c r="E649" t="s">
        <v>2815</v>
      </c>
      <c r="F649" t="s">
        <v>2816</v>
      </c>
      <c r="G649">
        <v>424</v>
      </c>
      <c r="H649" t="s">
        <v>63</v>
      </c>
      <c r="I649">
        <v>5</v>
      </c>
      <c r="J649" t="str">
        <f>HYPERLINK("Gene2876-zp_tree_all.dnd", "Gene2876-tree")</f>
        <v>Gene2876-tree</v>
      </c>
      <c r="K649">
        <v>2</v>
      </c>
      <c r="L649">
        <v>3</v>
      </c>
      <c r="M649">
        <v>2</v>
      </c>
      <c r="N649">
        <v>3</v>
      </c>
      <c r="O649">
        <v>0.6</v>
      </c>
      <c r="P649" t="s">
        <v>124</v>
      </c>
      <c r="Q649" t="s">
        <v>86</v>
      </c>
      <c r="R649" t="s">
        <v>66</v>
      </c>
      <c r="S649" t="s">
        <v>66</v>
      </c>
      <c r="T649">
        <v>0</v>
      </c>
      <c r="U649">
        <v>0</v>
      </c>
      <c r="V649">
        <v>9</v>
      </c>
      <c r="W649">
        <v>0</v>
      </c>
      <c r="X649">
        <v>0</v>
      </c>
      <c r="Y649">
        <v>0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8</v>
      </c>
      <c r="AG649">
        <v>0</v>
      </c>
      <c r="AH649">
        <v>5</v>
      </c>
      <c r="AI649">
        <v>2</v>
      </c>
      <c r="AJ649">
        <v>41</v>
      </c>
      <c r="AK649">
        <v>7</v>
      </c>
      <c r="AL649">
        <v>10</v>
      </c>
      <c r="AM649">
        <v>3</v>
      </c>
      <c r="AN649" t="s">
        <v>2817</v>
      </c>
      <c r="AO649" t="s">
        <v>2818</v>
      </c>
      <c r="AP649">
        <v>0.93300000000000005</v>
      </c>
      <c r="AQ649" t="s">
        <v>69</v>
      </c>
      <c r="AR649">
        <v>51</v>
      </c>
      <c r="AS649">
        <v>10</v>
      </c>
      <c r="AT649">
        <v>1.9970000000000002E-2</v>
      </c>
      <c r="AU649">
        <v>-2.1099999999999999E-3</v>
      </c>
      <c r="AV649">
        <v>7.9329999999999998E-2</v>
      </c>
      <c r="AW649">
        <v>-8.0400000000000003E-3</v>
      </c>
      <c r="AX649">
        <v>4.64E-3</v>
      </c>
      <c r="AY649">
        <v>-7.6000000000000004E-4</v>
      </c>
      <c r="AZ649">
        <v>5.8549999999999998E-2</v>
      </c>
      <c r="BA649">
        <v>1</v>
      </c>
      <c r="BB649" t="s">
        <v>70</v>
      </c>
      <c r="BC649">
        <v>-0.152</v>
      </c>
      <c r="BD649">
        <v>-0.26800000000000002</v>
      </c>
      <c r="BE649" t="s">
        <v>71</v>
      </c>
    </row>
    <row r="650" spans="1:57">
      <c r="A650">
        <v>2878</v>
      </c>
      <c r="B650" t="s">
        <v>2819</v>
      </c>
      <c r="D650" t="s">
        <v>66</v>
      </c>
      <c r="E650" t="s">
        <v>2820</v>
      </c>
      <c r="F650" t="s">
        <v>2821</v>
      </c>
      <c r="G650">
        <v>199</v>
      </c>
      <c r="H650" t="s">
        <v>85</v>
      </c>
      <c r="I650">
        <v>4</v>
      </c>
      <c r="J650" t="str">
        <f>HYPERLINK("Gene2878-zp_tree_all.dnd", "Gene2878-tree")</f>
        <v>Gene2878-tree</v>
      </c>
      <c r="K650">
        <v>1</v>
      </c>
      <c r="L650">
        <v>3</v>
      </c>
      <c r="M650">
        <v>1</v>
      </c>
      <c r="N650">
        <v>3</v>
      </c>
      <c r="O650">
        <v>0.75</v>
      </c>
      <c r="P650" t="s">
        <v>65</v>
      </c>
      <c r="Q650" t="s">
        <v>86</v>
      </c>
      <c r="R650" t="s">
        <v>66</v>
      </c>
      <c r="S650" t="s">
        <v>66</v>
      </c>
      <c r="T650">
        <v>0</v>
      </c>
      <c r="U650">
        <v>0</v>
      </c>
      <c r="V650">
        <v>9</v>
      </c>
      <c r="W650">
        <v>0</v>
      </c>
      <c r="X650">
        <v>0</v>
      </c>
      <c r="Y650">
        <v>0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8</v>
      </c>
      <c r="AG650">
        <v>0</v>
      </c>
      <c r="AH650">
        <v>4</v>
      </c>
      <c r="AI650">
        <v>1</v>
      </c>
      <c r="AJ650">
        <v>29</v>
      </c>
      <c r="AK650">
        <v>8</v>
      </c>
      <c r="AL650">
        <v>2</v>
      </c>
      <c r="AM650">
        <v>1</v>
      </c>
      <c r="AN650" t="s">
        <v>2822</v>
      </c>
      <c r="AO650" t="s">
        <v>2823</v>
      </c>
      <c r="AP650">
        <v>0.873</v>
      </c>
      <c r="AQ650" t="s">
        <v>69</v>
      </c>
      <c r="AR650">
        <v>31</v>
      </c>
      <c r="AS650">
        <v>9</v>
      </c>
      <c r="AT650">
        <v>3.2379999999999999E-2</v>
      </c>
      <c r="AU650">
        <v>-7.3899999999999999E-3</v>
      </c>
      <c r="AV650">
        <v>0.13342000000000001</v>
      </c>
      <c r="AW650">
        <v>-3.431E-2</v>
      </c>
      <c r="AX650">
        <v>9.9500000000000005E-3</v>
      </c>
      <c r="AY650">
        <v>-1.9400000000000001E-3</v>
      </c>
      <c r="AZ650">
        <v>7.4550000000000005E-2</v>
      </c>
      <c r="BA650">
        <v>1</v>
      </c>
      <c r="BB650" t="s">
        <v>70</v>
      </c>
      <c r="BC650">
        <v>-0.16</v>
      </c>
      <c r="BD650">
        <v>-0.68799999999999994</v>
      </c>
      <c r="BE650" t="s">
        <v>71</v>
      </c>
    </row>
    <row r="651" spans="1:57">
      <c r="A651">
        <v>2879</v>
      </c>
      <c r="B651" t="s">
        <v>2824</v>
      </c>
      <c r="D651" t="s">
        <v>66</v>
      </c>
      <c r="E651" t="s">
        <v>2825</v>
      </c>
      <c r="F651" t="s">
        <v>2826</v>
      </c>
      <c r="G651">
        <v>472</v>
      </c>
      <c r="H651" t="s">
        <v>63</v>
      </c>
      <c r="I651">
        <v>5</v>
      </c>
      <c r="J651" t="str">
        <f>HYPERLINK("Gene2879-zp_tree_all.dnd", "Gene2879-tree")</f>
        <v>Gene2879-tree</v>
      </c>
      <c r="K651">
        <v>2</v>
      </c>
      <c r="L651">
        <v>3</v>
      </c>
      <c r="M651">
        <v>2</v>
      </c>
      <c r="N651">
        <v>3</v>
      </c>
      <c r="O651">
        <v>0.6</v>
      </c>
      <c r="P651" t="s">
        <v>124</v>
      </c>
      <c r="Q651" t="s">
        <v>86</v>
      </c>
      <c r="R651" t="s">
        <v>66</v>
      </c>
      <c r="S651" t="s">
        <v>66</v>
      </c>
      <c r="T651">
        <v>1</v>
      </c>
      <c r="U651">
        <v>2</v>
      </c>
      <c r="V651">
        <v>7</v>
      </c>
      <c r="W651">
        <v>0.22222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</v>
      </c>
      <c r="AE651">
        <v>2</v>
      </c>
      <c r="AF651">
        <v>7</v>
      </c>
      <c r="AG651">
        <v>0.22222</v>
      </c>
      <c r="AH651">
        <v>5</v>
      </c>
      <c r="AI651">
        <v>2</v>
      </c>
      <c r="AJ651">
        <v>42</v>
      </c>
      <c r="AK651">
        <v>7</v>
      </c>
      <c r="AL651">
        <v>48</v>
      </c>
      <c r="AM651">
        <v>2</v>
      </c>
      <c r="AN651" t="s">
        <v>2827</v>
      </c>
      <c r="AO651" t="s">
        <v>2828</v>
      </c>
      <c r="AP651">
        <v>1.0960000000000001</v>
      </c>
      <c r="AQ651" t="s">
        <v>69</v>
      </c>
      <c r="AR651">
        <v>90</v>
      </c>
      <c r="AS651">
        <v>9</v>
      </c>
      <c r="AT651">
        <v>3.397E-2</v>
      </c>
      <c r="AU651">
        <v>-5.79E-3</v>
      </c>
      <c r="AV651">
        <v>0.15816</v>
      </c>
      <c r="AW651">
        <v>-2.8459999999999999E-2</v>
      </c>
      <c r="AX651">
        <v>3.6600000000000001E-3</v>
      </c>
      <c r="AY651">
        <v>-6.8999999999999997E-4</v>
      </c>
      <c r="AZ651">
        <v>2.3140000000000001E-2</v>
      </c>
      <c r="BA651">
        <v>1</v>
      </c>
      <c r="BB651" t="s">
        <v>70</v>
      </c>
      <c r="BC651">
        <v>0.67800000000000005</v>
      </c>
      <c r="BD651">
        <v>0.35099999999999998</v>
      </c>
      <c r="BE651" t="s">
        <v>71</v>
      </c>
    </row>
    <row r="652" spans="1:57">
      <c r="A652">
        <v>2879</v>
      </c>
      <c r="B652" t="s">
        <v>2824</v>
      </c>
      <c r="D652" t="s">
        <v>66</v>
      </c>
      <c r="E652" t="s">
        <v>2825</v>
      </c>
      <c r="F652" t="s">
        <v>2826</v>
      </c>
      <c r="G652">
        <v>472</v>
      </c>
      <c r="H652" t="s">
        <v>63</v>
      </c>
      <c r="I652">
        <v>5</v>
      </c>
      <c r="J652" t="str">
        <f>HYPERLINK("Gene2879-zp_tree_all.dnd", "Gene2879-tree")</f>
        <v>Gene2879-tree</v>
      </c>
      <c r="K652">
        <v>2</v>
      </c>
      <c r="L652">
        <v>3</v>
      </c>
      <c r="M652">
        <v>2</v>
      </c>
      <c r="N652">
        <v>3</v>
      </c>
      <c r="O652">
        <v>0.6</v>
      </c>
      <c r="P652" t="s">
        <v>124</v>
      </c>
      <c r="Q652" t="s">
        <v>86</v>
      </c>
      <c r="R652" t="s">
        <v>66</v>
      </c>
      <c r="S652" t="s">
        <v>66</v>
      </c>
      <c r="T652">
        <v>1</v>
      </c>
      <c r="U652">
        <v>2</v>
      </c>
      <c r="V652">
        <v>7</v>
      </c>
      <c r="W652">
        <v>0.22222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2</v>
      </c>
      <c r="AE652">
        <v>2</v>
      </c>
      <c r="AF652">
        <v>7</v>
      </c>
      <c r="AG652">
        <v>0.22222</v>
      </c>
      <c r="AH652">
        <v>5</v>
      </c>
      <c r="AI652">
        <v>2</v>
      </c>
      <c r="AJ652">
        <v>42</v>
      </c>
      <c r="AK652">
        <v>7</v>
      </c>
      <c r="AL652">
        <v>48</v>
      </c>
      <c r="AM652">
        <v>2</v>
      </c>
      <c r="AN652" t="s">
        <v>2827</v>
      </c>
      <c r="AO652" t="s">
        <v>2828</v>
      </c>
      <c r="AP652">
        <v>1.0960000000000001</v>
      </c>
      <c r="AQ652" t="s">
        <v>69</v>
      </c>
      <c r="AR652">
        <v>90</v>
      </c>
      <c r="AS652">
        <v>9</v>
      </c>
      <c r="AT652">
        <v>3.397E-2</v>
      </c>
      <c r="AU652">
        <v>-5.79E-3</v>
      </c>
      <c r="AV652">
        <v>0.15816</v>
      </c>
      <c r="AW652">
        <v>-2.8459999999999999E-2</v>
      </c>
      <c r="AX652">
        <v>3.6600000000000001E-3</v>
      </c>
      <c r="AY652">
        <v>-6.8999999999999997E-4</v>
      </c>
      <c r="AZ652">
        <v>2.3140000000000001E-2</v>
      </c>
      <c r="BA652">
        <v>1</v>
      </c>
      <c r="BB652" t="s">
        <v>70</v>
      </c>
      <c r="BC652">
        <v>0.67800000000000005</v>
      </c>
      <c r="BD652">
        <v>0.35099999999999998</v>
      </c>
      <c r="BE652" t="s">
        <v>71</v>
      </c>
    </row>
    <row r="653" spans="1:57">
      <c r="A653">
        <v>2882</v>
      </c>
      <c r="B653" t="s">
        <v>2829</v>
      </c>
      <c r="D653" t="s">
        <v>66</v>
      </c>
      <c r="E653" t="s">
        <v>2830</v>
      </c>
      <c r="F653" t="s">
        <v>2831</v>
      </c>
      <c r="G653">
        <v>342</v>
      </c>
      <c r="H653" t="s">
        <v>106</v>
      </c>
      <c r="I653">
        <v>4</v>
      </c>
      <c r="J653" t="str">
        <f>HYPERLINK("Gene2882-zp_tree_all.dnd", "Gene2882-tree")</f>
        <v>Gene2882-tree</v>
      </c>
      <c r="K653">
        <v>2</v>
      </c>
      <c r="L653">
        <v>2</v>
      </c>
      <c r="M653">
        <v>2</v>
      </c>
      <c r="N653">
        <v>2</v>
      </c>
      <c r="O653">
        <v>0.5</v>
      </c>
      <c r="P653" t="s">
        <v>124</v>
      </c>
      <c r="Q653" t="s">
        <v>124</v>
      </c>
      <c r="R653" t="s">
        <v>66</v>
      </c>
      <c r="S653" t="s">
        <v>66</v>
      </c>
      <c r="T653">
        <v>0</v>
      </c>
      <c r="U653">
        <v>0</v>
      </c>
      <c r="V653">
        <v>2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3</v>
      </c>
      <c r="AG653">
        <v>0</v>
      </c>
      <c r="AH653">
        <v>4</v>
      </c>
      <c r="AI653">
        <v>1</v>
      </c>
      <c r="AJ653">
        <v>53</v>
      </c>
      <c r="AK653">
        <v>3</v>
      </c>
      <c r="AL653">
        <v>6</v>
      </c>
      <c r="AM653">
        <v>0</v>
      </c>
      <c r="AN653" t="s">
        <v>2832</v>
      </c>
      <c r="AO653" t="s">
        <v>68</v>
      </c>
      <c r="AP653">
        <v>0.66300000000000003</v>
      </c>
      <c r="AQ653" t="s">
        <v>69</v>
      </c>
      <c r="AR653">
        <v>59</v>
      </c>
      <c r="AS653">
        <v>3</v>
      </c>
      <c r="AT653">
        <v>3.0380000000000001E-2</v>
      </c>
      <c r="AU653">
        <v>-7.9500000000000005E-3</v>
      </c>
      <c r="AV653">
        <v>0.14532999999999999</v>
      </c>
      <c r="AW653">
        <v>-4.1709999999999997E-2</v>
      </c>
      <c r="AX653">
        <v>1.9E-3</v>
      </c>
      <c r="AY653">
        <v>-5.0000000000000001E-4</v>
      </c>
      <c r="AZ653">
        <v>1.307E-2</v>
      </c>
      <c r="BA653">
        <v>1</v>
      </c>
      <c r="BB653" t="s">
        <v>70</v>
      </c>
      <c r="BC653">
        <v>-0.32900000000000001</v>
      </c>
      <c r="BD653">
        <v>-0.81499999999999995</v>
      </c>
      <c r="BE653" t="s">
        <v>71</v>
      </c>
    </row>
    <row r="654" spans="1:57">
      <c r="A654">
        <v>2883</v>
      </c>
      <c r="B654" t="s">
        <v>2833</v>
      </c>
      <c r="D654" t="s">
        <v>66</v>
      </c>
      <c r="E654" t="s">
        <v>2834</v>
      </c>
      <c r="F654" t="s">
        <v>2835</v>
      </c>
      <c r="G654">
        <v>172</v>
      </c>
      <c r="H654" t="s">
        <v>106</v>
      </c>
      <c r="I654">
        <v>4</v>
      </c>
      <c r="J654" t="str">
        <f>HYPERLINK("Gene2883-zp_tree_all.dnd", "Gene2883-tree")</f>
        <v>Gene2883-tree</v>
      </c>
      <c r="K654">
        <v>2</v>
      </c>
      <c r="L654">
        <v>2</v>
      </c>
      <c r="M654">
        <v>2</v>
      </c>
      <c r="N654">
        <v>2</v>
      </c>
      <c r="O654">
        <v>0.5</v>
      </c>
      <c r="P654" t="s">
        <v>124</v>
      </c>
      <c r="Q654" t="s">
        <v>124</v>
      </c>
      <c r="R654" t="s">
        <v>66</v>
      </c>
      <c r="S654" t="s">
        <v>66</v>
      </c>
      <c r="T654">
        <v>0</v>
      </c>
      <c r="U654">
        <v>0</v>
      </c>
      <c r="V654">
        <v>3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3</v>
      </c>
      <c r="AG654">
        <v>0</v>
      </c>
      <c r="AH654">
        <v>4</v>
      </c>
      <c r="AI654">
        <v>1</v>
      </c>
      <c r="AJ654">
        <v>24</v>
      </c>
      <c r="AK654">
        <v>3</v>
      </c>
      <c r="AL654">
        <v>3</v>
      </c>
      <c r="AM654">
        <v>0</v>
      </c>
      <c r="AN654" t="s">
        <v>2836</v>
      </c>
      <c r="AO654" t="s">
        <v>68</v>
      </c>
      <c r="AP654">
        <v>0.82199999999999995</v>
      </c>
      <c r="AQ654" t="s">
        <v>69</v>
      </c>
      <c r="AR654">
        <v>27</v>
      </c>
      <c r="AS654">
        <v>3</v>
      </c>
      <c r="AT654">
        <v>2.8750000000000001E-2</v>
      </c>
      <c r="AU654">
        <v>-6.5100000000000002E-3</v>
      </c>
      <c r="AV654">
        <v>0.11888</v>
      </c>
      <c r="AW654">
        <v>-2.8479999999999998E-2</v>
      </c>
      <c r="AX654">
        <v>3.8400000000000001E-3</v>
      </c>
      <c r="AY654">
        <v>-1E-3</v>
      </c>
      <c r="AZ654">
        <v>3.2340000000000001E-2</v>
      </c>
      <c r="BA654">
        <v>1</v>
      </c>
      <c r="BB654" t="s">
        <v>70</v>
      </c>
      <c r="BC654">
        <v>-0.29699999999999999</v>
      </c>
      <c r="BD654">
        <v>-0.63500000000000001</v>
      </c>
      <c r="BE654" t="s">
        <v>71</v>
      </c>
    </row>
    <row r="655" spans="1:57">
      <c r="A655">
        <v>2893</v>
      </c>
      <c r="B655" t="s">
        <v>2841</v>
      </c>
      <c r="D655" t="s">
        <v>66</v>
      </c>
      <c r="E655" t="s">
        <v>2842</v>
      </c>
      <c r="F655" t="s">
        <v>787</v>
      </c>
      <c r="G655">
        <v>146</v>
      </c>
      <c r="H655" t="s">
        <v>63</v>
      </c>
      <c r="I655">
        <v>5</v>
      </c>
      <c r="J655" t="str">
        <f>HYPERLINK("Gene2893-zp_tree_all.dnd", "Gene2893-tree")</f>
        <v>Gene2893-tree</v>
      </c>
      <c r="K655">
        <v>4</v>
      </c>
      <c r="L655">
        <v>1</v>
      </c>
      <c r="M655">
        <v>4</v>
      </c>
      <c r="N655">
        <v>1</v>
      </c>
      <c r="O655">
        <v>0.2</v>
      </c>
      <c r="P655" t="s">
        <v>64</v>
      </c>
      <c r="Q655" t="s">
        <v>65</v>
      </c>
      <c r="R655" t="s">
        <v>66</v>
      </c>
      <c r="S655" t="s">
        <v>66</v>
      </c>
      <c r="T655">
        <v>0</v>
      </c>
      <c r="U655">
        <v>0</v>
      </c>
      <c r="V655">
        <v>2</v>
      </c>
      <c r="W655">
        <v>0</v>
      </c>
      <c r="X655">
        <v>0</v>
      </c>
      <c r="Y655">
        <v>0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4</v>
      </c>
      <c r="AI655">
        <v>1</v>
      </c>
      <c r="AJ655">
        <v>8</v>
      </c>
      <c r="AK655">
        <v>1</v>
      </c>
      <c r="AL655">
        <v>7</v>
      </c>
      <c r="AM655">
        <v>1</v>
      </c>
      <c r="AN655" t="s">
        <v>2843</v>
      </c>
      <c r="AO655" t="s">
        <v>2844</v>
      </c>
      <c r="AP655">
        <v>6.5000000000000002E-2</v>
      </c>
      <c r="AQ655" t="s">
        <v>69</v>
      </c>
      <c r="AR655">
        <v>15</v>
      </c>
      <c r="AS655">
        <v>2</v>
      </c>
      <c r="AT655">
        <v>1.9179999999999999E-2</v>
      </c>
      <c r="AU655">
        <v>-3.5400000000000002E-3</v>
      </c>
      <c r="AV655">
        <v>8.4229999999999999E-2</v>
      </c>
      <c r="AW655">
        <v>-1.5480000000000001E-2</v>
      </c>
      <c r="AX655">
        <v>2.9199999999999999E-3</v>
      </c>
      <c r="AY655">
        <v>-7.2000000000000005E-4</v>
      </c>
      <c r="AZ655">
        <v>3.4680000000000002E-2</v>
      </c>
      <c r="BA655">
        <v>1</v>
      </c>
      <c r="BB655" t="s">
        <v>70</v>
      </c>
      <c r="BC655">
        <v>0.216</v>
      </c>
      <c r="BD655">
        <v>0.216</v>
      </c>
      <c r="BE655" t="s">
        <v>71</v>
      </c>
    </row>
    <row r="656" spans="1:57">
      <c r="A656">
        <v>2897</v>
      </c>
      <c r="B656" t="s">
        <v>2848</v>
      </c>
      <c r="D656" t="s">
        <v>66</v>
      </c>
      <c r="E656" t="s">
        <v>2849</v>
      </c>
      <c r="F656" t="s">
        <v>2850</v>
      </c>
      <c r="G656">
        <v>586</v>
      </c>
      <c r="H656" t="s">
        <v>63</v>
      </c>
      <c r="I656">
        <v>5</v>
      </c>
      <c r="J656" t="str">
        <f>HYPERLINK("Gene2897-zp_tree_all.dnd", "Gene2897-tree")</f>
        <v>Gene2897-tree</v>
      </c>
      <c r="K656">
        <v>3</v>
      </c>
      <c r="L656">
        <v>2</v>
      </c>
      <c r="M656">
        <v>3</v>
      </c>
      <c r="N656">
        <v>2</v>
      </c>
      <c r="O656">
        <v>0.4</v>
      </c>
      <c r="P656" t="s">
        <v>86</v>
      </c>
      <c r="Q656" t="s">
        <v>124</v>
      </c>
      <c r="R656" t="s">
        <v>66</v>
      </c>
      <c r="S656" t="s">
        <v>66</v>
      </c>
      <c r="T656">
        <v>0</v>
      </c>
      <c r="U656">
        <v>0</v>
      </c>
      <c r="V656">
        <v>3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2</v>
      </c>
      <c r="AG656">
        <v>0</v>
      </c>
      <c r="AH656">
        <v>5</v>
      </c>
      <c r="AI656">
        <v>2</v>
      </c>
      <c r="AJ656">
        <v>40</v>
      </c>
      <c r="AK656">
        <v>2</v>
      </c>
      <c r="AL656">
        <v>67</v>
      </c>
      <c r="AM656">
        <v>1</v>
      </c>
      <c r="AN656" t="s">
        <v>2851</v>
      </c>
      <c r="AO656" t="s">
        <v>2852</v>
      </c>
      <c r="AP656">
        <v>0.745</v>
      </c>
      <c r="AQ656" t="s">
        <v>69</v>
      </c>
      <c r="AR656">
        <v>107</v>
      </c>
      <c r="AS656">
        <v>3</v>
      </c>
      <c r="AT656">
        <v>3.1289999999999998E-2</v>
      </c>
      <c r="AU656">
        <v>-5.4299999999999999E-3</v>
      </c>
      <c r="AV656">
        <v>0.15129999999999999</v>
      </c>
      <c r="AW656">
        <v>-2.759E-2</v>
      </c>
      <c r="AX656">
        <v>1.0300000000000001E-3</v>
      </c>
      <c r="AY656">
        <v>-1.9000000000000001E-4</v>
      </c>
      <c r="AZ656">
        <v>6.8399999999999997E-3</v>
      </c>
      <c r="BA656">
        <v>1</v>
      </c>
      <c r="BB656" t="s">
        <v>70</v>
      </c>
      <c r="BC656">
        <v>0.93799999999999994</v>
      </c>
      <c r="BD656">
        <v>0.503</v>
      </c>
      <c r="BE656" t="s">
        <v>71</v>
      </c>
    </row>
    <row r="657" spans="1:57">
      <c r="A657">
        <v>2898</v>
      </c>
      <c r="B657" t="s">
        <v>2853</v>
      </c>
      <c r="D657" t="s">
        <v>66</v>
      </c>
      <c r="E657" t="s">
        <v>2854</v>
      </c>
      <c r="F657" t="s">
        <v>2855</v>
      </c>
      <c r="G657">
        <v>202</v>
      </c>
      <c r="H657" t="s">
        <v>63</v>
      </c>
      <c r="I657">
        <v>5</v>
      </c>
      <c r="J657" t="str">
        <f>HYPERLINK("Gene2898-zp_tree_all.dnd", "Gene2898-tree")</f>
        <v>Gene2898-tree</v>
      </c>
      <c r="K657">
        <v>5</v>
      </c>
      <c r="L657">
        <v>0</v>
      </c>
      <c r="M657">
        <v>5</v>
      </c>
      <c r="N657">
        <v>0</v>
      </c>
      <c r="O657">
        <v>0</v>
      </c>
      <c r="P657" t="s">
        <v>96</v>
      </c>
      <c r="Q657" t="s">
        <v>66</v>
      </c>
      <c r="R657" t="s">
        <v>66</v>
      </c>
      <c r="S657" t="s">
        <v>66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4</v>
      </c>
      <c r="AI657">
        <v>2</v>
      </c>
      <c r="AJ657">
        <v>7</v>
      </c>
      <c r="AK657">
        <v>0</v>
      </c>
      <c r="AL657">
        <v>14</v>
      </c>
      <c r="AM657">
        <v>0</v>
      </c>
      <c r="AN657" t="s">
        <v>68</v>
      </c>
      <c r="AO657" t="s">
        <v>68</v>
      </c>
      <c r="AP657">
        <v>0</v>
      </c>
      <c r="AQ657" t="s">
        <v>69</v>
      </c>
      <c r="AR657">
        <v>21</v>
      </c>
      <c r="AS657">
        <v>0</v>
      </c>
      <c r="AT657">
        <v>1.6920000000000001E-2</v>
      </c>
      <c r="AU657">
        <v>-2.33E-3</v>
      </c>
      <c r="AV657">
        <v>7.6369999999999993E-2</v>
      </c>
      <c r="AW657">
        <v>-1.0840000000000001E-2</v>
      </c>
      <c r="AX657">
        <v>0</v>
      </c>
      <c r="AY657">
        <v>0</v>
      </c>
      <c r="AZ657">
        <v>0</v>
      </c>
      <c r="BA657">
        <v>1</v>
      </c>
      <c r="BB657" t="s">
        <v>70</v>
      </c>
      <c r="BC657">
        <v>1.33</v>
      </c>
      <c r="BD657">
        <v>0.98899999999999999</v>
      </c>
      <c r="BE657" t="s">
        <v>71</v>
      </c>
    </row>
    <row r="658" spans="1:57">
      <c r="A658">
        <v>2905</v>
      </c>
      <c r="B658" t="s">
        <v>2861</v>
      </c>
      <c r="D658" t="s">
        <v>66</v>
      </c>
      <c r="E658" t="s">
        <v>2862</v>
      </c>
      <c r="F658" t="s">
        <v>2863</v>
      </c>
      <c r="G658">
        <v>257</v>
      </c>
      <c r="H658" t="s">
        <v>63</v>
      </c>
      <c r="I658">
        <v>5</v>
      </c>
      <c r="J658" t="str">
        <f>HYPERLINK("Gene2905-zp_tree_all.dnd", "Gene2905-tree")</f>
        <v>Gene2905-tree</v>
      </c>
      <c r="K658">
        <v>3</v>
      </c>
      <c r="L658">
        <v>2</v>
      </c>
      <c r="M658">
        <v>3</v>
      </c>
      <c r="N658">
        <v>2</v>
      </c>
      <c r="O658">
        <v>0.4</v>
      </c>
      <c r="P658" t="s">
        <v>86</v>
      </c>
      <c r="Q658" t="s">
        <v>124</v>
      </c>
      <c r="R658" t="s">
        <v>66</v>
      </c>
      <c r="S658" t="s">
        <v>66</v>
      </c>
      <c r="T658">
        <v>0</v>
      </c>
      <c r="U658">
        <v>0</v>
      </c>
      <c r="V658">
        <v>5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0</v>
      </c>
      <c r="AC658">
        <v>0</v>
      </c>
      <c r="AD658">
        <v>0</v>
      </c>
      <c r="AE658">
        <v>0</v>
      </c>
      <c r="AF658">
        <v>2</v>
      </c>
      <c r="AG658">
        <v>0</v>
      </c>
      <c r="AH658">
        <v>5</v>
      </c>
      <c r="AI658">
        <v>2</v>
      </c>
      <c r="AJ658">
        <v>20</v>
      </c>
      <c r="AK658">
        <v>2</v>
      </c>
      <c r="AL658">
        <v>24</v>
      </c>
      <c r="AM658">
        <v>3</v>
      </c>
      <c r="AN658" t="s">
        <v>2864</v>
      </c>
      <c r="AO658" t="s">
        <v>2865</v>
      </c>
      <c r="AP658">
        <v>9.6000000000000002E-2</v>
      </c>
      <c r="AQ658" t="s">
        <v>69</v>
      </c>
      <c r="AR658">
        <v>44</v>
      </c>
      <c r="AS658">
        <v>5</v>
      </c>
      <c r="AT658">
        <v>3.1780000000000003E-2</v>
      </c>
      <c r="AU658">
        <v>-6.13E-3</v>
      </c>
      <c r="AV658">
        <v>0.14197000000000001</v>
      </c>
      <c r="AW658">
        <v>-2.895E-2</v>
      </c>
      <c r="AX658">
        <v>4.3800000000000002E-3</v>
      </c>
      <c r="AY658">
        <v>-6.2E-4</v>
      </c>
      <c r="AZ658">
        <v>3.0880000000000001E-2</v>
      </c>
      <c r="BA658">
        <v>1</v>
      </c>
      <c r="BB658" t="s">
        <v>70</v>
      </c>
      <c r="BC658">
        <v>0.82599999999999996</v>
      </c>
      <c r="BD658">
        <v>0.65500000000000003</v>
      </c>
      <c r="BE658" t="s">
        <v>71</v>
      </c>
    </row>
    <row r="659" spans="1:57">
      <c r="A659">
        <v>2909</v>
      </c>
      <c r="B659" t="s">
        <v>2866</v>
      </c>
      <c r="D659" t="s">
        <v>66</v>
      </c>
      <c r="E659" t="s">
        <v>2867</v>
      </c>
      <c r="F659" t="s">
        <v>74</v>
      </c>
      <c r="G659">
        <v>134</v>
      </c>
      <c r="H659" t="s">
        <v>63</v>
      </c>
      <c r="I659">
        <v>5</v>
      </c>
      <c r="J659" t="str">
        <f>HYPERLINK("Gene2909-zp_tree_all.dnd", "Gene2909-tree")</f>
        <v>Gene2909-tree</v>
      </c>
      <c r="K659">
        <v>5</v>
      </c>
      <c r="L659">
        <v>0</v>
      </c>
      <c r="M659">
        <v>4</v>
      </c>
      <c r="N659">
        <v>0</v>
      </c>
      <c r="O659">
        <v>0</v>
      </c>
      <c r="P659" t="s">
        <v>135</v>
      </c>
      <c r="Q659" t="s">
        <v>66</v>
      </c>
      <c r="R659" t="s">
        <v>66</v>
      </c>
      <c r="S659" t="s">
        <v>66</v>
      </c>
      <c r="T659">
        <v>0</v>
      </c>
      <c r="U659">
        <v>0</v>
      </c>
      <c r="V659">
        <v>2</v>
      </c>
      <c r="W659">
        <v>0</v>
      </c>
      <c r="X659">
        <v>0</v>
      </c>
      <c r="Y659">
        <v>0</v>
      </c>
      <c r="Z659">
        <v>0</v>
      </c>
      <c r="AA659">
        <v>2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4</v>
      </c>
      <c r="AI659">
        <v>1</v>
      </c>
      <c r="AJ659">
        <v>12</v>
      </c>
      <c r="AK659">
        <v>0</v>
      </c>
      <c r="AL659">
        <v>6</v>
      </c>
      <c r="AM659">
        <v>2</v>
      </c>
      <c r="AN659" t="s">
        <v>68</v>
      </c>
      <c r="AO659" t="s">
        <v>2868</v>
      </c>
      <c r="AP659">
        <v>0</v>
      </c>
      <c r="AQ659" t="s">
        <v>69</v>
      </c>
      <c r="AR659">
        <v>18</v>
      </c>
      <c r="AS659">
        <v>2</v>
      </c>
      <c r="AT659">
        <v>2.7359999999999999E-2</v>
      </c>
      <c r="AU659">
        <v>-3.8400000000000001E-3</v>
      </c>
      <c r="AV659">
        <v>0.11321000000000001</v>
      </c>
      <c r="AW659">
        <v>-1.485E-2</v>
      </c>
      <c r="AX659">
        <v>4.3299999999999996E-3</v>
      </c>
      <c r="AY659">
        <v>-1.0200000000000001E-3</v>
      </c>
      <c r="AZ659">
        <v>3.8240000000000003E-2</v>
      </c>
      <c r="BA659">
        <v>1</v>
      </c>
      <c r="BB659" t="s">
        <v>70</v>
      </c>
      <c r="BC659">
        <v>0.38800000000000001</v>
      </c>
      <c r="BD659">
        <v>0.38800000000000001</v>
      </c>
      <c r="BE659" t="s">
        <v>71</v>
      </c>
    </row>
    <row r="660" spans="1:57">
      <c r="A660">
        <v>2912</v>
      </c>
      <c r="B660" t="s">
        <v>2869</v>
      </c>
      <c r="D660" t="s">
        <v>66</v>
      </c>
      <c r="E660" t="s">
        <v>2870</v>
      </c>
      <c r="F660" t="s">
        <v>2871</v>
      </c>
      <c r="G660">
        <v>177</v>
      </c>
      <c r="H660" t="s">
        <v>63</v>
      </c>
      <c r="I660">
        <v>5</v>
      </c>
      <c r="J660" t="str">
        <f>HYPERLINK("Gene2912-zp_tree_all.dnd", "Gene2912-tree")</f>
        <v>Gene2912-tree</v>
      </c>
      <c r="K660">
        <v>3</v>
      </c>
      <c r="L660">
        <v>2</v>
      </c>
      <c r="M660">
        <v>2</v>
      </c>
      <c r="N660">
        <v>2</v>
      </c>
      <c r="O660">
        <v>0.5</v>
      </c>
      <c r="P660" t="s">
        <v>185</v>
      </c>
      <c r="Q660" t="s">
        <v>124</v>
      </c>
      <c r="R660" t="s">
        <v>66</v>
      </c>
      <c r="S660" t="s">
        <v>66</v>
      </c>
      <c r="T660">
        <v>0</v>
      </c>
      <c r="U660">
        <v>0</v>
      </c>
      <c r="V660">
        <v>5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0</v>
      </c>
      <c r="AC660">
        <v>0</v>
      </c>
      <c r="AD660">
        <v>0</v>
      </c>
      <c r="AE660">
        <v>0</v>
      </c>
      <c r="AF660">
        <v>2</v>
      </c>
      <c r="AG660">
        <v>0</v>
      </c>
      <c r="AH660">
        <v>4</v>
      </c>
      <c r="AI660">
        <v>1</v>
      </c>
      <c r="AJ660">
        <v>17</v>
      </c>
      <c r="AK660">
        <v>2</v>
      </c>
      <c r="AL660">
        <v>11</v>
      </c>
      <c r="AM660">
        <v>4</v>
      </c>
      <c r="AN660" t="s">
        <v>2872</v>
      </c>
      <c r="AO660" t="s">
        <v>2873</v>
      </c>
      <c r="AP660">
        <v>2.7650000000000001</v>
      </c>
      <c r="AQ660" t="s">
        <v>69</v>
      </c>
      <c r="AR660">
        <v>28</v>
      </c>
      <c r="AS660">
        <v>6</v>
      </c>
      <c r="AT660">
        <v>3.61E-2</v>
      </c>
      <c r="AU660">
        <v>-5.8300000000000001E-3</v>
      </c>
      <c r="AV660">
        <v>0.12902</v>
      </c>
      <c r="AW660">
        <v>-2.0619999999999999E-2</v>
      </c>
      <c r="AX660">
        <v>9.2700000000000005E-3</v>
      </c>
      <c r="AY660">
        <v>-2.0400000000000001E-3</v>
      </c>
      <c r="AZ660">
        <v>7.1870000000000003E-2</v>
      </c>
      <c r="BA660">
        <v>1</v>
      </c>
      <c r="BB660" t="s">
        <v>70</v>
      </c>
      <c r="BC660">
        <v>0.83199999999999996</v>
      </c>
      <c r="BD660">
        <v>0.64300000000000002</v>
      </c>
      <c r="BE660" t="s">
        <v>71</v>
      </c>
    </row>
    <row r="661" spans="1:57">
      <c r="A661">
        <v>2913</v>
      </c>
      <c r="B661" t="s">
        <v>2874</v>
      </c>
      <c r="D661" t="s">
        <v>66</v>
      </c>
      <c r="E661" t="s">
        <v>2875</v>
      </c>
      <c r="F661" t="s">
        <v>2876</v>
      </c>
      <c r="G661">
        <v>85</v>
      </c>
      <c r="H661" t="s">
        <v>63</v>
      </c>
      <c r="I661">
        <v>5</v>
      </c>
      <c r="J661" t="str">
        <f>HYPERLINK("Gene2913-zp_tree_all.dnd", "Gene2913-tree")</f>
        <v>Gene2913-tree</v>
      </c>
      <c r="K661">
        <v>4</v>
      </c>
      <c r="L661">
        <v>1</v>
      </c>
      <c r="M661">
        <v>3</v>
      </c>
      <c r="N661">
        <v>1</v>
      </c>
      <c r="O661">
        <v>0.25</v>
      </c>
      <c r="P661" t="s">
        <v>112</v>
      </c>
      <c r="Q661" t="s">
        <v>65</v>
      </c>
      <c r="R661" t="s">
        <v>66</v>
      </c>
      <c r="S661" t="s">
        <v>66</v>
      </c>
      <c r="T661">
        <v>0</v>
      </c>
      <c r="U661">
        <v>0</v>
      </c>
      <c r="V661">
        <v>2</v>
      </c>
      <c r="W661">
        <v>0</v>
      </c>
      <c r="X661">
        <v>0</v>
      </c>
      <c r="Y661">
        <v>0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1</v>
      </c>
      <c r="AG661">
        <v>0</v>
      </c>
      <c r="AH661">
        <v>3</v>
      </c>
      <c r="AI661">
        <v>1</v>
      </c>
      <c r="AJ661">
        <v>2</v>
      </c>
      <c r="AK661">
        <v>1</v>
      </c>
      <c r="AL661">
        <v>1</v>
      </c>
      <c r="AM661">
        <v>1</v>
      </c>
      <c r="AN661" t="s">
        <v>2877</v>
      </c>
      <c r="AO661" t="s">
        <v>2878</v>
      </c>
      <c r="AP661">
        <v>0.69299999999999995</v>
      </c>
      <c r="AQ661" t="s">
        <v>69</v>
      </c>
      <c r="AR661">
        <v>3</v>
      </c>
      <c r="AS661">
        <v>2</v>
      </c>
      <c r="AT661">
        <v>1.111E-2</v>
      </c>
      <c r="AU661">
        <v>-1.7099999999999999E-3</v>
      </c>
      <c r="AV661">
        <v>3.1309999999999998E-2</v>
      </c>
      <c r="AW661">
        <v>-5.8500000000000002E-3</v>
      </c>
      <c r="AX661">
        <v>5.8500000000000002E-3</v>
      </c>
      <c r="AY661">
        <v>-1.0200000000000001E-3</v>
      </c>
      <c r="AZ661">
        <v>0.18690000000000001</v>
      </c>
      <c r="BA661">
        <v>0.85499999999999998</v>
      </c>
      <c r="BB661" t="s">
        <v>188</v>
      </c>
      <c r="BC661">
        <v>0</v>
      </c>
      <c r="BD661">
        <v>0</v>
      </c>
      <c r="BE661" t="s">
        <v>71</v>
      </c>
    </row>
    <row r="662" spans="1:57">
      <c r="A662">
        <v>2916</v>
      </c>
      <c r="B662" t="s">
        <v>2879</v>
      </c>
      <c r="D662" t="s">
        <v>66</v>
      </c>
      <c r="E662" t="s">
        <v>2880</v>
      </c>
      <c r="F662" t="s">
        <v>2881</v>
      </c>
      <c r="G662">
        <v>344</v>
      </c>
      <c r="H662" t="s">
        <v>63</v>
      </c>
      <c r="I662">
        <v>5</v>
      </c>
      <c r="J662" t="str">
        <f>HYPERLINK("Gene2916-zp_tree_all.dnd", "Gene2916-tree")</f>
        <v>Gene2916-tree</v>
      </c>
      <c r="K662">
        <v>2</v>
      </c>
      <c r="L662">
        <v>3</v>
      </c>
      <c r="M662">
        <v>2</v>
      </c>
      <c r="N662">
        <v>3</v>
      </c>
      <c r="O662">
        <v>0.6</v>
      </c>
      <c r="P662" t="s">
        <v>124</v>
      </c>
      <c r="Q662" t="s">
        <v>86</v>
      </c>
      <c r="R662" t="s">
        <v>66</v>
      </c>
      <c r="S662" t="s">
        <v>66</v>
      </c>
      <c r="T662">
        <v>0</v>
      </c>
      <c r="U662">
        <v>0</v>
      </c>
      <c r="V662">
        <v>6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6</v>
      </c>
      <c r="AG662">
        <v>0</v>
      </c>
      <c r="AH662">
        <v>5</v>
      </c>
      <c r="AI662">
        <v>2</v>
      </c>
      <c r="AJ662">
        <v>32</v>
      </c>
      <c r="AK662">
        <v>4</v>
      </c>
      <c r="AL662">
        <v>32</v>
      </c>
      <c r="AM662">
        <v>2</v>
      </c>
      <c r="AN662" t="s">
        <v>2882</v>
      </c>
      <c r="AO662" t="s">
        <v>2883</v>
      </c>
      <c r="AP662">
        <v>0.72399999999999998</v>
      </c>
      <c r="AQ662" t="s">
        <v>69</v>
      </c>
      <c r="AR662">
        <v>64</v>
      </c>
      <c r="AS662">
        <v>6</v>
      </c>
      <c r="AT662">
        <v>3.295E-2</v>
      </c>
      <c r="AU662">
        <v>-5.0699999999999999E-3</v>
      </c>
      <c r="AV662">
        <v>0.15578</v>
      </c>
      <c r="AW662">
        <v>-2.5520000000000001E-2</v>
      </c>
      <c r="AX662">
        <v>3.49E-3</v>
      </c>
      <c r="AY662">
        <v>-6.0999999999999997E-4</v>
      </c>
      <c r="AZ662">
        <v>2.2409999999999999E-2</v>
      </c>
      <c r="BA662">
        <v>1</v>
      </c>
      <c r="BB662" t="s">
        <v>70</v>
      </c>
      <c r="BC662">
        <v>0.433</v>
      </c>
      <c r="BD662">
        <v>0.433</v>
      </c>
      <c r="BE662" t="s">
        <v>71</v>
      </c>
    </row>
    <row r="663" spans="1:57">
      <c r="A663">
        <v>2925</v>
      </c>
      <c r="B663" t="s">
        <v>2887</v>
      </c>
      <c r="D663" t="s">
        <v>66</v>
      </c>
      <c r="E663" t="s">
        <v>2888</v>
      </c>
      <c r="F663" t="s">
        <v>2889</v>
      </c>
      <c r="G663">
        <v>281</v>
      </c>
      <c r="H663" t="s">
        <v>63</v>
      </c>
      <c r="I663">
        <v>5</v>
      </c>
      <c r="J663" t="str">
        <f>HYPERLINK("Gene2925-zp_tree_all.dnd", "Gene2925-tree")</f>
        <v>Gene2925-tree</v>
      </c>
      <c r="K663">
        <v>2</v>
      </c>
      <c r="L663">
        <v>3</v>
      </c>
      <c r="M663">
        <v>2</v>
      </c>
      <c r="N663">
        <v>3</v>
      </c>
      <c r="O663">
        <v>0.6</v>
      </c>
      <c r="P663" t="s">
        <v>124</v>
      </c>
      <c r="Q663" t="s">
        <v>86</v>
      </c>
      <c r="R663" t="s">
        <v>66</v>
      </c>
      <c r="S663" t="s">
        <v>66</v>
      </c>
      <c r="T663">
        <v>0</v>
      </c>
      <c r="U663">
        <v>0</v>
      </c>
      <c r="V663">
        <v>6</v>
      </c>
      <c r="W663">
        <v>0</v>
      </c>
      <c r="X663">
        <v>0</v>
      </c>
      <c r="Y663">
        <v>0</v>
      </c>
      <c r="Z663">
        <v>0</v>
      </c>
      <c r="AA663">
        <v>2</v>
      </c>
      <c r="AB663">
        <v>0</v>
      </c>
      <c r="AC663">
        <v>0</v>
      </c>
      <c r="AD663">
        <v>0</v>
      </c>
      <c r="AE663">
        <v>0</v>
      </c>
      <c r="AF663">
        <v>4</v>
      </c>
      <c r="AG663">
        <v>0</v>
      </c>
      <c r="AH663">
        <v>5</v>
      </c>
      <c r="AI663">
        <v>2</v>
      </c>
      <c r="AJ663">
        <v>36</v>
      </c>
      <c r="AK663">
        <v>4</v>
      </c>
      <c r="AL663">
        <v>31</v>
      </c>
      <c r="AM663">
        <v>3</v>
      </c>
      <c r="AN663" t="s">
        <v>2890</v>
      </c>
      <c r="AO663" t="s">
        <v>2891</v>
      </c>
      <c r="AP663">
        <v>0.29399999999999998</v>
      </c>
      <c r="AQ663" t="s">
        <v>69</v>
      </c>
      <c r="AR663">
        <v>67</v>
      </c>
      <c r="AS663">
        <v>7</v>
      </c>
      <c r="AT663">
        <v>4.1160000000000002E-2</v>
      </c>
      <c r="AU663">
        <v>-4.7000000000000002E-3</v>
      </c>
      <c r="AV663">
        <v>0.17824000000000001</v>
      </c>
      <c r="AW663">
        <v>-2.18E-2</v>
      </c>
      <c r="AX663">
        <v>5.3099999999999996E-3</v>
      </c>
      <c r="AY663">
        <v>-4.0999999999999999E-4</v>
      </c>
      <c r="AZ663">
        <v>2.981E-2</v>
      </c>
      <c r="BA663">
        <v>1</v>
      </c>
      <c r="BB663" t="s">
        <v>70</v>
      </c>
      <c r="BC663">
        <v>0.59799999999999998</v>
      </c>
      <c r="BD663">
        <v>0.38600000000000001</v>
      </c>
      <c r="BE663" t="s">
        <v>71</v>
      </c>
    </row>
    <row r="664" spans="1:57">
      <c r="A664">
        <v>2926</v>
      </c>
      <c r="B664" t="s">
        <v>2892</v>
      </c>
      <c r="D664" t="s">
        <v>66</v>
      </c>
      <c r="E664" t="s">
        <v>2893</v>
      </c>
      <c r="F664" t="s">
        <v>2894</v>
      </c>
      <c r="G664">
        <v>313</v>
      </c>
      <c r="H664" t="s">
        <v>63</v>
      </c>
      <c r="I664">
        <v>5</v>
      </c>
      <c r="J664" t="str">
        <f>HYPERLINK("Gene2926-zp_tree_all.dnd", "Gene2926-tree")</f>
        <v>Gene2926-tree</v>
      </c>
      <c r="K664">
        <v>3</v>
      </c>
      <c r="L664">
        <v>2</v>
      </c>
      <c r="M664">
        <v>3</v>
      </c>
      <c r="N664">
        <v>2</v>
      </c>
      <c r="O664">
        <v>0.4</v>
      </c>
      <c r="P664" t="s">
        <v>86</v>
      </c>
      <c r="Q664" t="s">
        <v>124</v>
      </c>
      <c r="R664" t="s">
        <v>66</v>
      </c>
      <c r="S664" t="s">
        <v>66</v>
      </c>
      <c r="T664">
        <v>1</v>
      </c>
      <c r="U664">
        <v>2</v>
      </c>
      <c r="V664">
        <v>3</v>
      </c>
      <c r="W664">
        <v>0.4</v>
      </c>
      <c r="X664">
        <v>0</v>
      </c>
      <c r="Y664">
        <v>0</v>
      </c>
      <c r="Z664">
        <v>0</v>
      </c>
      <c r="AA664">
        <v>2</v>
      </c>
      <c r="AB664">
        <v>0</v>
      </c>
      <c r="AC664">
        <v>0</v>
      </c>
      <c r="AD664">
        <v>0</v>
      </c>
      <c r="AE664">
        <v>0</v>
      </c>
      <c r="AF664">
        <v>3</v>
      </c>
      <c r="AG664">
        <v>0</v>
      </c>
      <c r="AH664">
        <v>5</v>
      </c>
      <c r="AI664">
        <v>2</v>
      </c>
      <c r="AJ664">
        <v>29</v>
      </c>
      <c r="AK664">
        <v>3</v>
      </c>
      <c r="AL664">
        <v>36</v>
      </c>
      <c r="AM664">
        <v>2</v>
      </c>
      <c r="AN664" t="s">
        <v>2895</v>
      </c>
      <c r="AO664" t="s">
        <v>2896</v>
      </c>
      <c r="AP664">
        <v>0.505</v>
      </c>
      <c r="AQ664" t="s">
        <v>69</v>
      </c>
      <c r="AR664">
        <v>65</v>
      </c>
      <c r="AS664">
        <v>5</v>
      </c>
      <c r="AT664">
        <v>3.6319999999999998E-2</v>
      </c>
      <c r="AU664">
        <v>-5.3099999999999996E-3</v>
      </c>
      <c r="AV664">
        <v>0.15572</v>
      </c>
      <c r="AW664">
        <v>-2.4670000000000001E-2</v>
      </c>
      <c r="AX664">
        <v>3.3999999999999998E-3</v>
      </c>
      <c r="AY664">
        <v>-4.2000000000000002E-4</v>
      </c>
      <c r="AZ664">
        <v>2.1829999999999999E-2</v>
      </c>
      <c r="BA664">
        <v>1</v>
      </c>
      <c r="BB664" t="s">
        <v>70</v>
      </c>
      <c r="BC664">
        <v>0.70399999999999996</v>
      </c>
      <c r="BD664">
        <v>0.38800000000000001</v>
      </c>
      <c r="BE664" t="s">
        <v>71</v>
      </c>
    </row>
    <row r="665" spans="1:57">
      <c r="A665">
        <v>2942</v>
      </c>
      <c r="B665" t="s">
        <v>2911</v>
      </c>
      <c r="D665" t="s">
        <v>66</v>
      </c>
      <c r="E665" t="s">
        <v>2912</v>
      </c>
      <c r="F665" t="s">
        <v>2913</v>
      </c>
      <c r="G665">
        <v>146</v>
      </c>
      <c r="H665" t="s">
        <v>85</v>
      </c>
      <c r="I665">
        <v>4</v>
      </c>
      <c r="J665" t="str">
        <f>HYPERLINK("Gene2942-zp_tree_all.dnd", "Gene2942-tree")</f>
        <v>Gene2942-tree</v>
      </c>
      <c r="K665">
        <v>3</v>
      </c>
      <c r="L665">
        <v>1</v>
      </c>
      <c r="M665">
        <v>3</v>
      </c>
      <c r="N665">
        <v>1</v>
      </c>
      <c r="O665">
        <v>0.25</v>
      </c>
      <c r="P665" t="s">
        <v>86</v>
      </c>
      <c r="Q665" t="s">
        <v>65</v>
      </c>
      <c r="R665" t="s">
        <v>66</v>
      </c>
      <c r="S665" t="s">
        <v>66</v>
      </c>
      <c r="T665">
        <v>0</v>
      </c>
      <c r="U665">
        <v>0</v>
      </c>
      <c r="V665">
        <v>3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0</v>
      </c>
      <c r="AF665">
        <v>2</v>
      </c>
      <c r="AG665">
        <v>0</v>
      </c>
      <c r="AH665">
        <v>3</v>
      </c>
      <c r="AI665">
        <v>1</v>
      </c>
      <c r="AJ665">
        <v>17</v>
      </c>
      <c r="AK665">
        <v>2</v>
      </c>
      <c r="AL665">
        <v>2</v>
      </c>
      <c r="AM665">
        <v>1</v>
      </c>
      <c r="AN665" t="s">
        <v>2914</v>
      </c>
      <c r="AO665" t="s">
        <v>2915</v>
      </c>
      <c r="AP665">
        <v>1.9490000000000001</v>
      </c>
      <c r="AQ665" t="s">
        <v>69</v>
      </c>
      <c r="AR665">
        <v>19</v>
      </c>
      <c r="AS665">
        <v>3</v>
      </c>
      <c r="AT665">
        <v>2.6259999999999999E-2</v>
      </c>
      <c r="AU665">
        <v>-7.1500000000000001E-3</v>
      </c>
      <c r="AV665">
        <v>9.8960000000000006E-2</v>
      </c>
      <c r="AW665">
        <v>-2.8049999999999999E-2</v>
      </c>
      <c r="AX665">
        <v>5.1000000000000004E-3</v>
      </c>
      <c r="AY665">
        <v>-1.3799999999999999E-3</v>
      </c>
      <c r="AZ665">
        <v>5.1499999999999997E-2</v>
      </c>
      <c r="BA665">
        <v>1</v>
      </c>
      <c r="BB665" t="s">
        <v>70</v>
      </c>
      <c r="BC665">
        <v>-0.42799999999999999</v>
      </c>
      <c r="BD665">
        <v>-0.42799999999999999</v>
      </c>
      <c r="BE665" t="s">
        <v>71</v>
      </c>
    </row>
    <row r="666" spans="1:57">
      <c r="A666">
        <v>2946</v>
      </c>
      <c r="B666" t="s">
        <v>2916</v>
      </c>
      <c r="D666" t="s">
        <v>66</v>
      </c>
      <c r="E666" t="s">
        <v>2917</v>
      </c>
      <c r="F666" t="s">
        <v>2918</v>
      </c>
      <c r="G666">
        <v>643</v>
      </c>
      <c r="H666" t="s">
        <v>63</v>
      </c>
      <c r="I666">
        <v>5</v>
      </c>
      <c r="J666" t="str">
        <f>HYPERLINK("Gene2946-zp_tree_all.dnd", "Gene2946-tree")</f>
        <v>Gene2946-tree</v>
      </c>
      <c r="K666">
        <v>2</v>
      </c>
      <c r="L666">
        <v>3</v>
      </c>
      <c r="M666">
        <v>2</v>
      </c>
      <c r="N666">
        <v>3</v>
      </c>
      <c r="O666">
        <v>0.6</v>
      </c>
      <c r="P666" t="s">
        <v>124</v>
      </c>
      <c r="Q666" t="s">
        <v>86</v>
      </c>
      <c r="R666" t="s">
        <v>66</v>
      </c>
      <c r="S666" t="s">
        <v>66</v>
      </c>
      <c r="T666">
        <v>0</v>
      </c>
      <c r="U666">
        <v>0</v>
      </c>
      <c r="V666">
        <v>7</v>
      </c>
      <c r="W666">
        <v>0</v>
      </c>
      <c r="X666">
        <v>0</v>
      </c>
      <c r="Y666">
        <v>0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0</v>
      </c>
      <c r="AF666">
        <v>6</v>
      </c>
      <c r="AG666">
        <v>0</v>
      </c>
      <c r="AH666">
        <v>5</v>
      </c>
      <c r="AI666">
        <v>2</v>
      </c>
      <c r="AJ666">
        <v>80</v>
      </c>
      <c r="AK666">
        <v>4</v>
      </c>
      <c r="AL666">
        <v>50</v>
      </c>
      <c r="AM666">
        <v>3</v>
      </c>
      <c r="AN666" t="s">
        <v>2919</v>
      </c>
      <c r="AO666" t="s">
        <v>2920</v>
      </c>
      <c r="AP666">
        <v>0.184</v>
      </c>
      <c r="AQ666" t="s">
        <v>69</v>
      </c>
      <c r="AR666">
        <v>130</v>
      </c>
      <c r="AS666">
        <v>7</v>
      </c>
      <c r="AT666">
        <v>3.2300000000000002E-2</v>
      </c>
      <c r="AU666">
        <v>-4.3400000000000001E-3</v>
      </c>
      <c r="AV666">
        <v>0.15345</v>
      </c>
      <c r="AW666">
        <v>-2.2110000000000001E-2</v>
      </c>
      <c r="AX666">
        <v>2.2799999999999999E-3</v>
      </c>
      <c r="AY666">
        <v>-3.3E-4</v>
      </c>
      <c r="AZ666">
        <v>1.4840000000000001E-2</v>
      </c>
      <c r="BA666">
        <v>1</v>
      </c>
      <c r="BB666" t="s">
        <v>70</v>
      </c>
      <c r="BC666">
        <v>0.22900000000000001</v>
      </c>
      <c r="BD666">
        <v>-0.111</v>
      </c>
      <c r="BE666" t="s">
        <v>71</v>
      </c>
    </row>
    <row r="667" spans="1:57">
      <c r="A667">
        <v>2951</v>
      </c>
      <c r="B667" t="s">
        <v>2921</v>
      </c>
      <c r="D667" t="s">
        <v>66</v>
      </c>
      <c r="E667" t="s">
        <v>2922</v>
      </c>
      <c r="F667" t="s">
        <v>2923</v>
      </c>
      <c r="G667">
        <v>152</v>
      </c>
      <c r="H667" t="s">
        <v>63</v>
      </c>
      <c r="I667">
        <v>5</v>
      </c>
      <c r="J667" t="str">
        <f>HYPERLINK("Gene2951-zp_tree_all.dnd", "Gene2951-tree")</f>
        <v>Gene2951-tree</v>
      </c>
      <c r="K667">
        <v>5</v>
      </c>
      <c r="L667">
        <v>0</v>
      </c>
      <c r="M667">
        <v>5</v>
      </c>
      <c r="N667">
        <v>0</v>
      </c>
      <c r="O667">
        <v>0</v>
      </c>
      <c r="P667" t="s">
        <v>96</v>
      </c>
      <c r="Q667" t="s">
        <v>66</v>
      </c>
      <c r="R667" t="s">
        <v>66</v>
      </c>
      <c r="S667" t="s">
        <v>66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4</v>
      </c>
      <c r="AI667">
        <v>2</v>
      </c>
      <c r="AJ667">
        <v>13</v>
      </c>
      <c r="AK667">
        <v>0</v>
      </c>
      <c r="AL667">
        <v>14</v>
      </c>
      <c r="AM667">
        <v>0</v>
      </c>
      <c r="AN667" t="s">
        <v>68</v>
      </c>
      <c r="AO667" t="s">
        <v>68</v>
      </c>
      <c r="AP667">
        <v>0</v>
      </c>
      <c r="AQ667" t="s">
        <v>69</v>
      </c>
      <c r="AR667">
        <v>27</v>
      </c>
      <c r="AS667">
        <v>0</v>
      </c>
      <c r="AT667">
        <v>2.7629999999999998E-2</v>
      </c>
      <c r="AU667">
        <v>-3.7200000000000002E-3</v>
      </c>
      <c r="AV667">
        <v>0.14418</v>
      </c>
      <c r="AW667">
        <v>-2.0959999999999999E-2</v>
      </c>
      <c r="AX667">
        <v>0</v>
      </c>
      <c r="AY667">
        <v>0</v>
      </c>
      <c r="AZ667">
        <v>0</v>
      </c>
      <c r="BA667">
        <v>1</v>
      </c>
      <c r="BB667" t="s">
        <v>70</v>
      </c>
      <c r="BC667">
        <v>0.69699999999999995</v>
      </c>
      <c r="BD667">
        <v>0.69699999999999995</v>
      </c>
      <c r="BE667" t="s">
        <v>71</v>
      </c>
    </row>
    <row r="668" spans="1:57">
      <c r="A668">
        <v>2952</v>
      </c>
      <c r="B668" t="s">
        <v>2924</v>
      </c>
      <c r="D668" t="s">
        <v>66</v>
      </c>
      <c r="E668" t="s">
        <v>2925</v>
      </c>
      <c r="F668" t="s">
        <v>2926</v>
      </c>
      <c r="G668">
        <v>126</v>
      </c>
      <c r="H668" t="s">
        <v>63</v>
      </c>
      <c r="I668">
        <v>5</v>
      </c>
      <c r="J668" t="str">
        <f>HYPERLINK("Gene2952-zp_tree_all.dnd", "Gene2952-tree")</f>
        <v>Gene2952-tree</v>
      </c>
      <c r="K668">
        <v>5</v>
      </c>
      <c r="L668">
        <v>0</v>
      </c>
      <c r="M668">
        <v>4</v>
      </c>
      <c r="N668">
        <v>0</v>
      </c>
      <c r="O668">
        <v>0</v>
      </c>
      <c r="P668" t="s">
        <v>135</v>
      </c>
      <c r="Q668" t="s">
        <v>66</v>
      </c>
      <c r="R668" t="s">
        <v>66</v>
      </c>
      <c r="S668" t="s">
        <v>66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3</v>
      </c>
      <c r="AI668">
        <v>1</v>
      </c>
      <c r="AJ668">
        <v>3</v>
      </c>
      <c r="AK668">
        <v>0</v>
      </c>
      <c r="AL668">
        <v>1</v>
      </c>
      <c r="AM668">
        <v>0</v>
      </c>
      <c r="AN668" t="s">
        <v>68</v>
      </c>
      <c r="AO668" t="s">
        <v>68</v>
      </c>
      <c r="AP668">
        <v>0</v>
      </c>
      <c r="AQ668" t="s">
        <v>69</v>
      </c>
      <c r="AR668">
        <v>4</v>
      </c>
      <c r="AS668">
        <v>0</v>
      </c>
      <c r="AT668">
        <v>5.7299999999999999E-3</v>
      </c>
      <c r="AU668">
        <v>-7.3999999999999999E-4</v>
      </c>
      <c r="AV668">
        <v>2.632E-2</v>
      </c>
      <c r="AW668">
        <v>-3.46E-3</v>
      </c>
      <c r="AX668">
        <v>0</v>
      </c>
      <c r="AY668">
        <v>0</v>
      </c>
      <c r="AZ668">
        <v>0</v>
      </c>
      <c r="BA668">
        <v>1</v>
      </c>
      <c r="BB668" t="s">
        <v>70</v>
      </c>
      <c r="BC668">
        <v>0.27300000000000002</v>
      </c>
      <c r="BD668">
        <v>0.27300000000000002</v>
      </c>
      <c r="BE668" t="s">
        <v>71</v>
      </c>
    </row>
    <row r="669" spans="1:57">
      <c r="A669">
        <v>2954</v>
      </c>
      <c r="B669" t="s">
        <v>2927</v>
      </c>
      <c r="D669" t="s">
        <v>66</v>
      </c>
      <c r="E669" t="s">
        <v>2928</v>
      </c>
      <c r="F669" t="s">
        <v>618</v>
      </c>
      <c r="G669">
        <v>126</v>
      </c>
      <c r="H669" t="s">
        <v>85</v>
      </c>
      <c r="I669">
        <v>4</v>
      </c>
      <c r="J669" t="str">
        <f>HYPERLINK("Gene2954-zp_tree_all.dnd", "Gene2954-tree")</f>
        <v>Gene2954-tree</v>
      </c>
      <c r="K669">
        <v>2</v>
      </c>
      <c r="L669">
        <v>2</v>
      </c>
      <c r="M669">
        <v>2</v>
      </c>
      <c r="N669">
        <v>2</v>
      </c>
      <c r="O669">
        <v>0.5</v>
      </c>
      <c r="P669" t="s">
        <v>124</v>
      </c>
      <c r="Q669" t="s">
        <v>124</v>
      </c>
      <c r="R669" t="s">
        <v>66</v>
      </c>
      <c r="S669" t="s">
        <v>66</v>
      </c>
      <c r="T669">
        <v>0</v>
      </c>
      <c r="U669">
        <v>0</v>
      </c>
      <c r="V669">
        <v>4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4</v>
      </c>
      <c r="AG669">
        <v>0</v>
      </c>
      <c r="AH669">
        <v>4</v>
      </c>
      <c r="AI669">
        <v>1</v>
      </c>
      <c r="AJ669">
        <v>23</v>
      </c>
      <c r="AK669">
        <v>4</v>
      </c>
      <c r="AL669">
        <v>1</v>
      </c>
      <c r="AM669">
        <v>0</v>
      </c>
      <c r="AN669" t="s">
        <v>2929</v>
      </c>
      <c r="AO669" t="s">
        <v>68</v>
      </c>
      <c r="AP669">
        <v>1</v>
      </c>
      <c r="AQ669" t="s">
        <v>69</v>
      </c>
      <c r="AR669">
        <v>24</v>
      </c>
      <c r="AS669">
        <v>4</v>
      </c>
      <c r="AT669">
        <v>3.483E-2</v>
      </c>
      <c r="AU669">
        <v>-7.9500000000000005E-3</v>
      </c>
      <c r="AV669">
        <v>0.15476999999999999</v>
      </c>
      <c r="AW669">
        <v>-3.9879999999999999E-2</v>
      </c>
      <c r="AX669">
        <v>6.8199999999999997E-3</v>
      </c>
      <c r="AY669">
        <v>-1.6100000000000001E-3</v>
      </c>
      <c r="AZ669">
        <v>4.4060000000000002E-2</v>
      </c>
      <c r="BA669">
        <v>1</v>
      </c>
      <c r="BB669" t="s">
        <v>70</v>
      </c>
      <c r="BC669">
        <v>-0.35499999999999998</v>
      </c>
      <c r="BD669">
        <v>-0.73299999999999998</v>
      </c>
      <c r="BE669" t="s">
        <v>71</v>
      </c>
    </row>
    <row r="670" spans="1:57">
      <c r="A670">
        <v>2958</v>
      </c>
      <c r="B670" t="s">
        <v>2930</v>
      </c>
      <c r="D670" t="s">
        <v>66</v>
      </c>
      <c r="E670" t="s">
        <v>2931</v>
      </c>
      <c r="F670" t="s">
        <v>74</v>
      </c>
      <c r="G670">
        <v>210</v>
      </c>
      <c r="H670" t="s">
        <v>63</v>
      </c>
      <c r="I670">
        <v>5</v>
      </c>
      <c r="J670" t="str">
        <f>HYPERLINK("Gene2958-zp_tree_all.dnd", "Gene2958-tree")</f>
        <v>Gene2958-tree</v>
      </c>
      <c r="K670">
        <v>3</v>
      </c>
      <c r="L670">
        <v>2</v>
      </c>
      <c r="M670">
        <v>2</v>
      </c>
      <c r="N670">
        <v>2</v>
      </c>
      <c r="O670">
        <v>0.5</v>
      </c>
      <c r="P670" t="s">
        <v>185</v>
      </c>
      <c r="Q670" t="s">
        <v>124</v>
      </c>
      <c r="R670" t="s">
        <v>66</v>
      </c>
      <c r="S670" t="s">
        <v>66</v>
      </c>
      <c r="T670">
        <v>0</v>
      </c>
      <c r="U670">
        <v>0</v>
      </c>
      <c r="V670">
        <v>3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3</v>
      </c>
      <c r="AG670">
        <v>0</v>
      </c>
      <c r="AH670">
        <v>4</v>
      </c>
      <c r="AI670">
        <v>1</v>
      </c>
      <c r="AJ670">
        <v>14</v>
      </c>
      <c r="AK670">
        <v>3</v>
      </c>
      <c r="AL670">
        <v>16</v>
      </c>
      <c r="AM670">
        <v>0</v>
      </c>
      <c r="AN670" t="s">
        <v>2932</v>
      </c>
      <c r="AO670" t="s">
        <v>68</v>
      </c>
      <c r="AP670">
        <v>1.1200000000000001</v>
      </c>
      <c r="AQ670" t="s">
        <v>69</v>
      </c>
      <c r="AR670">
        <v>30</v>
      </c>
      <c r="AS670">
        <v>3</v>
      </c>
      <c r="AT670">
        <v>3.0419999999999999E-2</v>
      </c>
      <c r="AU670">
        <v>-5.5199999999999997E-3</v>
      </c>
      <c r="AV670">
        <v>0.13236999999999999</v>
      </c>
      <c r="AW670">
        <v>-2.5510000000000001E-2</v>
      </c>
      <c r="AX670">
        <v>3.1199999999999999E-3</v>
      </c>
      <c r="AY670">
        <v>-6.3000000000000003E-4</v>
      </c>
      <c r="AZ670">
        <v>2.3599999999999999E-2</v>
      </c>
      <c r="BA670">
        <v>1</v>
      </c>
      <c r="BB670" t="s">
        <v>70</v>
      </c>
      <c r="BC670">
        <v>0.35899999999999999</v>
      </c>
      <c r="BD670">
        <v>0.35899999999999999</v>
      </c>
      <c r="BE670" t="s">
        <v>71</v>
      </c>
    </row>
    <row r="671" spans="1:57">
      <c r="A671">
        <v>2963</v>
      </c>
      <c r="B671" t="s">
        <v>2938</v>
      </c>
      <c r="D671" t="s">
        <v>66</v>
      </c>
      <c r="E671" t="s">
        <v>2939</v>
      </c>
      <c r="F671" t="s">
        <v>2940</v>
      </c>
      <c r="G671">
        <v>312</v>
      </c>
      <c r="H671" t="s">
        <v>63</v>
      </c>
      <c r="I671">
        <v>5</v>
      </c>
      <c r="J671" t="str">
        <f>HYPERLINK("Gene2963-zp_tree_all.dnd", "Gene2963-tree")</f>
        <v>Gene2963-tree</v>
      </c>
      <c r="K671">
        <v>3</v>
      </c>
      <c r="L671">
        <v>2</v>
      </c>
      <c r="M671">
        <v>3</v>
      </c>
      <c r="N671">
        <v>2</v>
      </c>
      <c r="O671">
        <v>0.4</v>
      </c>
      <c r="P671" t="s">
        <v>86</v>
      </c>
      <c r="Q671" t="s">
        <v>124</v>
      </c>
      <c r="R671" t="s">
        <v>66</v>
      </c>
      <c r="S671" t="s">
        <v>66</v>
      </c>
      <c r="T671">
        <v>0</v>
      </c>
      <c r="U671">
        <v>0</v>
      </c>
      <c r="V671">
        <v>3</v>
      </c>
      <c r="W671">
        <v>0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0</v>
      </c>
      <c r="AF671">
        <v>2</v>
      </c>
      <c r="AG671">
        <v>0</v>
      </c>
      <c r="AH671">
        <v>5</v>
      </c>
      <c r="AI671">
        <v>2</v>
      </c>
      <c r="AJ671">
        <v>23</v>
      </c>
      <c r="AK671">
        <v>2</v>
      </c>
      <c r="AL671">
        <v>17</v>
      </c>
      <c r="AM671">
        <v>1</v>
      </c>
      <c r="AN671" t="s">
        <v>2941</v>
      </c>
      <c r="AO671" t="s">
        <v>2942</v>
      </c>
      <c r="AP671">
        <v>0.29699999999999999</v>
      </c>
      <c r="AQ671" t="s">
        <v>69</v>
      </c>
      <c r="AR671">
        <v>40</v>
      </c>
      <c r="AS671">
        <v>3</v>
      </c>
      <c r="AT671">
        <v>2.1510000000000001E-2</v>
      </c>
      <c r="AU671">
        <v>-3.0899999999999999E-3</v>
      </c>
      <c r="AV671">
        <v>8.5470000000000004E-2</v>
      </c>
      <c r="AW671">
        <v>-1.333E-2</v>
      </c>
      <c r="AX671">
        <v>2.0100000000000001E-3</v>
      </c>
      <c r="AY671">
        <v>-2.2000000000000001E-4</v>
      </c>
      <c r="AZ671">
        <v>2.3550000000000001E-2</v>
      </c>
      <c r="BA671">
        <v>1</v>
      </c>
      <c r="BB671" t="s">
        <v>70</v>
      </c>
      <c r="BC671">
        <v>0.313</v>
      </c>
      <c r="BD671">
        <v>0.157</v>
      </c>
      <c r="BE671" t="s">
        <v>71</v>
      </c>
    </row>
    <row r="672" spans="1:57">
      <c r="A672">
        <v>2964</v>
      </c>
      <c r="B672" t="s">
        <v>2943</v>
      </c>
      <c r="D672" t="s">
        <v>66</v>
      </c>
      <c r="E672" t="s">
        <v>2944</v>
      </c>
      <c r="F672" t="s">
        <v>2945</v>
      </c>
      <c r="G672">
        <v>423</v>
      </c>
      <c r="H672" t="s">
        <v>63</v>
      </c>
      <c r="I672">
        <v>5</v>
      </c>
      <c r="J672" t="str">
        <f>HYPERLINK("Gene2964-zp_tree_all.dnd", "Gene2964-tree")</f>
        <v>Gene2964-tree</v>
      </c>
      <c r="K672">
        <v>5</v>
      </c>
      <c r="L672">
        <v>0</v>
      </c>
      <c r="M672">
        <v>5</v>
      </c>
      <c r="N672">
        <v>0</v>
      </c>
      <c r="O672">
        <v>0</v>
      </c>
      <c r="P672" t="s">
        <v>96</v>
      </c>
      <c r="Q672" t="s">
        <v>66</v>
      </c>
      <c r="R672" t="s">
        <v>66</v>
      </c>
      <c r="S672" t="s">
        <v>66</v>
      </c>
      <c r="T672">
        <v>0</v>
      </c>
      <c r="U672">
        <v>0</v>
      </c>
      <c r="V672">
        <v>5</v>
      </c>
      <c r="W672">
        <v>0</v>
      </c>
      <c r="X672">
        <v>0</v>
      </c>
      <c r="Y672">
        <v>0</v>
      </c>
      <c r="Z672">
        <v>0</v>
      </c>
      <c r="AA672">
        <v>5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5</v>
      </c>
      <c r="AI672">
        <v>2</v>
      </c>
      <c r="AJ672">
        <v>34</v>
      </c>
      <c r="AK672">
        <v>0</v>
      </c>
      <c r="AL672">
        <v>28</v>
      </c>
      <c r="AM672">
        <v>5</v>
      </c>
      <c r="AN672" t="s">
        <v>68</v>
      </c>
      <c r="AO672" t="s">
        <v>2946</v>
      </c>
      <c r="AP672">
        <v>1.276</v>
      </c>
      <c r="AQ672" t="s">
        <v>69</v>
      </c>
      <c r="AR672">
        <v>62</v>
      </c>
      <c r="AS672">
        <v>5</v>
      </c>
      <c r="AT672">
        <v>2.5610000000000001E-2</v>
      </c>
      <c r="AU672">
        <v>-4.2399999999999998E-3</v>
      </c>
      <c r="AV672">
        <v>0.10992</v>
      </c>
      <c r="AW672">
        <v>-1.839E-2</v>
      </c>
      <c r="AX672">
        <v>3.0899999999999999E-3</v>
      </c>
      <c r="AY672">
        <v>-6.0999999999999997E-4</v>
      </c>
      <c r="AZ672">
        <v>2.8080000000000001E-2</v>
      </c>
      <c r="BA672">
        <v>1</v>
      </c>
      <c r="BB672" t="s">
        <v>70</v>
      </c>
      <c r="BC672">
        <v>0.56599999999999995</v>
      </c>
      <c r="BD672">
        <v>0.34</v>
      </c>
      <c r="BE672" t="s">
        <v>71</v>
      </c>
    </row>
    <row r="673" spans="1:57">
      <c r="A673">
        <v>2965</v>
      </c>
      <c r="B673" t="s">
        <v>2947</v>
      </c>
      <c r="D673" t="s">
        <v>66</v>
      </c>
      <c r="E673" t="s">
        <v>2948</v>
      </c>
      <c r="F673" t="s">
        <v>2949</v>
      </c>
      <c r="G673">
        <v>372</v>
      </c>
      <c r="H673" t="s">
        <v>63</v>
      </c>
      <c r="I673">
        <v>5</v>
      </c>
      <c r="J673" t="str">
        <f>HYPERLINK("Gene2965-zp_tree_all.dnd", "Gene2965-tree")</f>
        <v>Gene2965-tree</v>
      </c>
      <c r="K673">
        <v>3</v>
      </c>
      <c r="L673">
        <v>2</v>
      </c>
      <c r="M673">
        <v>2</v>
      </c>
      <c r="N673">
        <v>2</v>
      </c>
      <c r="O673">
        <v>0.5</v>
      </c>
      <c r="P673" t="s">
        <v>185</v>
      </c>
      <c r="Q673" t="s">
        <v>124</v>
      </c>
      <c r="R673" t="s">
        <v>66</v>
      </c>
      <c r="S673" t="s">
        <v>66</v>
      </c>
      <c r="T673">
        <v>0</v>
      </c>
      <c r="U673">
        <v>0</v>
      </c>
      <c r="V673">
        <v>7</v>
      </c>
      <c r="W673">
        <v>0</v>
      </c>
      <c r="X673">
        <v>0</v>
      </c>
      <c r="Y673">
        <v>0</v>
      </c>
      <c r="Z673">
        <v>0</v>
      </c>
      <c r="AA673">
        <v>4</v>
      </c>
      <c r="AB673">
        <v>0</v>
      </c>
      <c r="AC673">
        <v>0</v>
      </c>
      <c r="AD673">
        <v>0</v>
      </c>
      <c r="AE673">
        <v>0</v>
      </c>
      <c r="AF673">
        <v>3</v>
      </c>
      <c r="AG673">
        <v>0</v>
      </c>
      <c r="AH673">
        <v>4</v>
      </c>
      <c r="AI673">
        <v>1</v>
      </c>
      <c r="AJ673">
        <v>19</v>
      </c>
      <c r="AK673">
        <v>3</v>
      </c>
      <c r="AL673">
        <v>38</v>
      </c>
      <c r="AM673">
        <v>5</v>
      </c>
      <c r="AN673" t="s">
        <v>2950</v>
      </c>
      <c r="AO673" t="s">
        <v>2951</v>
      </c>
      <c r="AP673">
        <v>0.32500000000000001</v>
      </c>
      <c r="AQ673" t="s">
        <v>69</v>
      </c>
      <c r="AR673">
        <v>57</v>
      </c>
      <c r="AS673">
        <v>8</v>
      </c>
      <c r="AT673">
        <v>3.524E-2</v>
      </c>
      <c r="AU673">
        <v>-7.4200000000000004E-3</v>
      </c>
      <c r="AV673">
        <v>0.1484</v>
      </c>
      <c r="AW673">
        <v>-3.2419999999999997E-2</v>
      </c>
      <c r="AX673">
        <v>5.6899999999999997E-3</v>
      </c>
      <c r="AY673">
        <v>-1.23E-3</v>
      </c>
      <c r="AZ673">
        <v>3.8379999999999997E-2</v>
      </c>
      <c r="BA673">
        <v>1</v>
      </c>
      <c r="BB673" t="s">
        <v>70</v>
      </c>
      <c r="BC673">
        <v>0.95599999999999996</v>
      </c>
      <c r="BD673">
        <v>0.85699999999999998</v>
      </c>
      <c r="BE673" t="s">
        <v>71</v>
      </c>
    </row>
    <row r="674" spans="1:57">
      <c r="A674">
        <v>2970</v>
      </c>
      <c r="B674" t="s">
        <v>2952</v>
      </c>
      <c r="D674" t="s">
        <v>66</v>
      </c>
      <c r="E674" t="s">
        <v>2953</v>
      </c>
      <c r="F674" t="s">
        <v>2954</v>
      </c>
      <c r="G674">
        <v>319</v>
      </c>
      <c r="H674" t="s">
        <v>63</v>
      </c>
      <c r="I674">
        <v>5</v>
      </c>
      <c r="J674" t="str">
        <f>HYPERLINK("Gene2970-zp_tree_all.dnd", "Gene2970-tree")</f>
        <v>Gene2970-tree</v>
      </c>
      <c r="K674">
        <v>5</v>
      </c>
      <c r="L674">
        <v>0</v>
      </c>
      <c r="M674">
        <v>5</v>
      </c>
      <c r="N674">
        <v>0</v>
      </c>
      <c r="O674">
        <v>0</v>
      </c>
      <c r="P674" t="s">
        <v>96</v>
      </c>
      <c r="Q674" t="s">
        <v>66</v>
      </c>
      <c r="R674" t="s">
        <v>66</v>
      </c>
      <c r="S674" t="s">
        <v>66</v>
      </c>
      <c r="T674">
        <v>0</v>
      </c>
      <c r="U674">
        <v>0</v>
      </c>
      <c r="V674">
        <v>2</v>
      </c>
      <c r="W674">
        <v>0</v>
      </c>
      <c r="X674">
        <v>0</v>
      </c>
      <c r="Y674">
        <v>0</v>
      </c>
      <c r="Z674">
        <v>0</v>
      </c>
      <c r="AA674">
        <v>2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5</v>
      </c>
      <c r="AI674">
        <v>2</v>
      </c>
      <c r="AJ674">
        <v>19</v>
      </c>
      <c r="AK674">
        <v>0</v>
      </c>
      <c r="AL674">
        <v>29</v>
      </c>
      <c r="AM674">
        <v>2</v>
      </c>
      <c r="AN674" t="s">
        <v>68</v>
      </c>
      <c r="AO674" t="s">
        <v>2955</v>
      </c>
      <c r="AP674">
        <v>0.91400000000000003</v>
      </c>
      <c r="AQ674" t="s">
        <v>69</v>
      </c>
      <c r="AR674">
        <v>48</v>
      </c>
      <c r="AS674">
        <v>2</v>
      </c>
      <c r="AT674">
        <v>2.7040000000000002E-2</v>
      </c>
      <c r="AU674">
        <v>-4.5999999999999999E-3</v>
      </c>
      <c r="AV674">
        <v>0.11627999999999999</v>
      </c>
      <c r="AW674">
        <v>-1.984E-2</v>
      </c>
      <c r="AX674">
        <v>2.0799999999999998E-3</v>
      </c>
      <c r="AY674">
        <v>-5.1999999999999995E-4</v>
      </c>
      <c r="AZ674">
        <v>1.787E-2</v>
      </c>
      <c r="BA674">
        <v>1</v>
      </c>
      <c r="BB674" t="s">
        <v>70</v>
      </c>
      <c r="BC674">
        <v>0.73099999999999998</v>
      </c>
      <c r="BD674">
        <v>0.73099999999999998</v>
      </c>
      <c r="BE674" t="s">
        <v>71</v>
      </c>
    </row>
    <row r="675" spans="1:57">
      <c r="A675">
        <v>2971</v>
      </c>
      <c r="B675" t="s">
        <v>2956</v>
      </c>
      <c r="D675" t="s">
        <v>66</v>
      </c>
      <c r="E675" t="s">
        <v>2957</v>
      </c>
      <c r="F675" t="s">
        <v>2958</v>
      </c>
      <c r="G675">
        <v>325</v>
      </c>
      <c r="H675" t="s">
        <v>63</v>
      </c>
      <c r="I675">
        <v>5</v>
      </c>
      <c r="J675" t="str">
        <f>HYPERLINK("Gene2971-zp_tree_all.dnd", "Gene2971-tree")</f>
        <v>Gene2971-tree</v>
      </c>
      <c r="K675">
        <v>2</v>
      </c>
      <c r="L675">
        <v>3</v>
      </c>
      <c r="M675">
        <v>2</v>
      </c>
      <c r="N675">
        <v>3</v>
      </c>
      <c r="O675">
        <v>0.6</v>
      </c>
      <c r="P675" t="s">
        <v>124</v>
      </c>
      <c r="Q675" t="s">
        <v>86</v>
      </c>
      <c r="R675" t="s">
        <v>66</v>
      </c>
      <c r="S675" t="s">
        <v>66</v>
      </c>
      <c r="T675">
        <v>0</v>
      </c>
      <c r="U675">
        <v>0</v>
      </c>
      <c r="V675">
        <v>6</v>
      </c>
      <c r="W675">
        <v>0</v>
      </c>
      <c r="X675">
        <v>0</v>
      </c>
      <c r="Y675">
        <v>0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5</v>
      </c>
      <c r="AG675">
        <v>0</v>
      </c>
      <c r="AH675">
        <v>5</v>
      </c>
      <c r="AI675">
        <v>2</v>
      </c>
      <c r="AJ675">
        <v>21</v>
      </c>
      <c r="AK675">
        <v>5</v>
      </c>
      <c r="AL675">
        <v>25</v>
      </c>
      <c r="AM675">
        <v>1</v>
      </c>
      <c r="AN675" t="s">
        <v>2959</v>
      </c>
      <c r="AO675" t="s">
        <v>2960</v>
      </c>
      <c r="AP675">
        <v>1.0980000000000001</v>
      </c>
      <c r="AQ675" t="s">
        <v>69</v>
      </c>
      <c r="AR675">
        <v>46</v>
      </c>
      <c r="AS675">
        <v>6</v>
      </c>
      <c r="AT675">
        <v>2.6259999999999999E-2</v>
      </c>
      <c r="AU675">
        <v>-3.7699999999999999E-3</v>
      </c>
      <c r="AV675">
        <v>0.1135</v>
      </c>
      <c r="AW675">
        <v>-1.7659999999999999E-2</v>
      </c>
      <c r="AX675">
        <v>3.46E-3</v>
      </c>
      <c r="AY675">
        <v>-6.3000000000000003E-4</v>
      </c>
      <c r="AZ675">
        <v>3.0519999999999999E-2</v>
      </c>
      <c r="BA675">
        <v>1</v>
      </c>
      <c r="BB675" t="s">
        <v>70</v>
      </c>
      <c r="BC675">
        <v>0.503</v>
      </c>
      <c r="BD675">
        <v>0.189</v>
      </c>
      <c r="BE675" t="s">
        <v>71</v>
      </c>
    </row>
    <row r="676" spans="1:57">
      <c r="A676">
        <v>2972</v>
      </c>
      <c r="B676" t="s">
        <v>2961</v>
      </c>
      <c r="D676" t="s">
        <v>66</v>
      </c>
      <c r="E676" t="s">
        <v>2962</v>
      </c>
      <c r="F676" t="s">
        <v>2963</v>
      </c>
      <c r="G676">
        <v>290</v>
      </c>
      <c r="H676" t="s">
        <v>63</v>
      </c>
      <c r="I676">
        <v>5</v>
      </c>
      <c r="J676" t="str">
        <f>HYPERLINK("Gene2972-zp_tree_all.dnd", "Gene2972-tree")</f>
        <v>Gene2972-tree</v>
      </c>
      <c r="K676">
        <v>3</v>
      </c>
      <c r="L676">
        <v>2</v>
      </c>
      <c r="M676">
        <v>3</v>
      </c>
      <c r="N676">
        <v>2</v>
      </c>
      <c r="O676">
        <v>0.4</v>
      </c>
      <c r="P676" t="s">
        <v>86</v>
      </c>
      <c r="Q676" t="s">
        <v>124</v>
      </c>
      <c r="R676" t="s">
        <v>66</v>
      </c>
      <c r="S676" t="s">
        <v>66</v>
      </c>
      <c r="T676">
        <v>0</v>
      </c>
      <c r="U676">
        <v>0</v>
      </c>
      <c r="V676">
        <v>2</v>
      </c>
      <c r="W676">
        <v>0</v>
      </c>
      <c r="X676">
        <v>0</v>
      </c>
      <c r="Y676">
        <v>0</v>
      </c>
      <c r="Z676">
        <v>0</v>
      </c>
      <c r="AA676">
        <v>2</v>
      </c>
      <c r="AB676">
        <v>0</v>
      </c>
      <c r="AC676">
        <v>0</v>
      </c>
      <c r="AD676">
        <v>0</v>
      </c>
      <c r="AE676">
        <v>0</v>
      </c>
      <c r="AF676">
        <v>2</v>
      </c>
      <c r="AG676">
        <v>0</v>
      </c>
      <c r="AH676">
        <v>4</v>
      </c>
      <c r="AI676">
        <v>2</v>
      </c>
      <c r="AJ676">
        <v>14</v>
      </c>
      <c r="AK676">
        <v>2</v>
      </c>
      <c r="AL676">
        <v>18</v>
      </c>
      <c r="AM676">
        <v>1</v>
      </c>
      <c r="AN676" t="s">
        <v>2964</v>
      </c>
      <c r="AO676" t="s">
        <v>2965</v>
      </c>
      <c r="AP676">
        <v>0.878</v>
      </c>
      <c r="AQ676" t="s">
        <v>69</v>
      </c>
      <c r="AR676">
        <v>32</v>
      </c>
      <c r="AS676">
        <v>3</v>
      </c>
      <c r="AT676">
        <v>1.9769999999999999E-2</v>
      </c>
      <c r="AU676">
        <v>-2.96E-3</v>
      </c>
      <c r="AV676">
        <v>9.3390000000000001E-2</v>
      </c>
      <c r="AW676">
        <v>-1.4659999999999999E-2</v>
      </c>
      <c r="AX676">
        <v>1.6100000000000001E-3</v>
      </c>
      <c r="AY676">
        <v>-2.5000000000000001E-4</v>
      </c>
      <c r="AZ676">
        <v>1.7239999999999998E-2</v>
      </c>
      <c r="BA676">
        <v>1</v>
      </c>
      <c r="BB676" t="s">
        <v>70</v>
      </c>
      <c r="BC676">
        <v>0.64300000000000002</v>
      </c>
      <c r="BD676">
        <v>0.17</v>
      </c>
      <c r="BE676" t="s">
        <v>71</v>
      </c>
    </row>
    <row r="677" spans="1:57">
      <c r="A677">
        <v>2978</v>
      </c>
      <c r="B677" t="s">
        <v>2973</v>
      </c>
      <c r="D677" t="s">
        <v>66</v>
      </c>
      <c r="E677" t="s">
        <v>2974</v>
      </c>
      <c r="F677" t="s">
        <v>2975</v>
      </c>
      <c r="G677">
        <v>313</v>
      </c>
      <c r="H677" t="s">
        <v>63</v>
      </c>
      <c r="I677">
        <v>5</v>
      </c>
      <c r="J677" t="str">
        <f>HYPERLINK("Gene2978-zp_tree_all.dnd", "Gene2978-tree")</f>
        <v>Gene2978-tree</v>
      </c>
      <c r="K677">
        <v>3</v>
      </c>
      <c r="L677">
        <v>2</v>
      </c>
      <c r="M677">
        <v>3</v>
      </c>
      <c r="N677">
        <v>2</v>
      </c>
      <c r="O677">
        <v>0.4</v>
      </c>
      <c r="P677" t="s">
        <v>86</v>
      </c>
      <c r="Q677" t="s">
        <v>124</v>
      </c>
      <c r="R677" t="s">
        <v>66</v>
      </c>
      <c r="S677" t="s">
        <v>66</v>
      </c>
      <c r="T677">
        <v>1</v>
      </c>
      <c r="U677">
        <v>2</v>
      </c>
      <c r="V677">
        <v>3</v>
      </c>
      <c r="W677">
        <v>0.4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2</v>
      </c>
      <c r="AE677">
        <v>2</v>
      </c>
      <c r="AF677">
        <v>3</v>
      </c>
      <c r="AG677">
        <v>0.4</v>
      </c>
      <c r="AH677">
        <v>5</v>
      </c>
      <c r="AI677">
        <v>2</v>
      </c>
      <c r="AJ677">
        <v>18</v>
      </c>
      <c r="AK677">
        <v>4</v>
      </c>
      <c r="AL677">
        <v>22</v>
      </c>
      <c r="AM677">
        <v>2</v>
      </c>
      <c r="AN677" t="s">
        <v>2976</v>
      </c>
      <c r="AO677" t="s">
        <v>2977</v>
      </c>
      <c r="AP677">
        <v>0.46600000000000003</v>
      </c>
      <c r="AQ677" t="s">
        <v>69</v>
      </c>
      <c r="AR677">
        <v>40</v>
      </c>
      <c r="AS677">
        <v>6</v>
      </c>
      <c r="AT677">
        <v>2.3429999999999999E-2</v>
      </c>
      <c r="AU677">
        <v>-4.1700000000000001E-3</v>
      </c>
      <c r="AV677">
        <v>9.4460000000000002E-2</v>
      </c>
      <c r="AW677">
        <v>-1.7049999999999999E-2</v>
      </c>
      <c r="AX677">
        <v>3.9100000000000003E-3</v>
      </c>
      <c r="AY677">
        <v>-8.8000000000000003E-4</v>
      </c>
      <c r="AZ677">
        <v>4.1419999999999998E-2</v>
      </c>
      <c r="BA677">
        <v>1</v>
      </c>
      <c r="BB677" t="s">
        <v>70</v>
      </c>
      <c r="BC677">
        <v>0.68700000000000006</v>
      </c>
      <c r="BD677">
        <v>0.16400000000000001</v>
      </c>
      <c r="BE677" t="s">
        <v>71</v>
      </c>
    </row>
    <row r="678" spans="1:57">
      <c r="A678">
        <v>2994</v>
      </c>
      <c r="B678" t="s">
        <v>2982</v>
      </c>
      <c r="D678" t="s">
        <v>66</v>
      </c>
      <c r="E678" t="s">
        <v>2983</v>
      </c>
      <c r="F678" t="s">
        <v>2984</v>
      </c>
      <c r="G678">
        <v>227</v>
      </c>
      <c r="H678" t="s">
        <v>85</v>
      </c>
      <c r="I678">
        <v>4</v>
      </c>
      <c r="J678" t="str">
        <f>HYPERLINK("Gene2994-zp_tree_all.dnd", "Gene2994-tree")</f>
        <v>Gene2994-tree</v>
      </c>
      <c r="K678">
        <v>3</v>
      </c>
      <c r="L678">
        <v>1</v>
      </c>
      <c r="M678">
        <v>3</v>
      </c>
      <c r="N678">
        <v>1</v>
      </c>
      <c r="O678">
        <v>0.25</v>
      </c>
      <c r="P678" t="s">
        <v>86</v>
      </c>
      <c r="Q678" t="s">
        <v>65</v>
      </c>
      <c r="R678" t="s">
        <v>66</v>
      </c>
      <c r="S678" t="s">
        <v>66</v>
      </c>
      <c r="T678">
        <v>0</v>
      </c>
      <c r="U678">
        <v>0</v>
      </c>
      <c r="V678">
        <v>3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3</v>
      </c>
      <c r="AG678">
        <v>0</v>
      </c>
      <c r="AH678">
        <v>3</v>
      </c>
      <c r="AI678">
        <v>1</v>
      </c>
      <c r="AJ678">
        <v>31</v>
      </c>
      <c r="AK678">
        <v>3</v>
      </c>
      <c r="AL678">
        <v>5</v>
      </c>
      <c r="AM678">
        <v>0</v>
      </c>
      <c r="AN678" t="s">
        <v>2985</v>
      </c>
      <c r="AO678" t="s">
        <v>68</v>
      </c>
      <c r="AP678">
        <v>0.51400000000000001</v>
      </c>
      <c r="AQ678" t="s">
        <v>69</v>
      </c>
      <c r="AR678">
        <v>36</v>
      </c>
      <c r="AS678">
        <v>3</v>
      </c>
      <c r="AT678">
        <v>2.8879999999999999E-2</v>
      </c>
      <c r="AU678">
        <v>-8.6999999999999994E-3</v>
      </c>
      <c r="AV678">
        <v>0.13408</v>
      </c>
      <c r="AW678">
        <v>-4.0739999999999998E-2</v>
      </c>
      <c r="AX678">
        <v>2.8600000000000001E-3</v>
      </c>
      <c r="AY678">
        <v>-1.17E-3</v>
      </c>
      <c r="AZ678">
        <v>2.1350000000000001E-2</v>
      </c>
      <c r="BA678">
        <v>1</v>
      </c>
      <c r="BB678" t="s">
        <v>70</v>
      </c>
      <c r="BC678">
        <v>-0.26500000000000001</v>
      </c>
      <c r="BD678">
        <v>-0.52200000000000002</v>
      </c>
      <c r="BE678" t="s">
        <v>71</v>
      </c>
    </row>
    <row r="679" spans="1:57">
      <c r="A679">
        <v>2995</v>
      </c>
      <c r="B679" t="s">
        <v>2986</v>
      </c>
      <c r="D679" t="s">
        <v>66</v>
      </c>
      <c r="E679" t="s">
        <v>2987</v>
      </c>
      <c r="F679" t="s">
        <v>2639</v>
      </c>
      <c r="G679">
        <v>255</v>
      </c>
      <c r="H679" t="s">
        <v>63</v>
      </c>
      <c r="I679">
        <v>5</v>
      </c>
      <c r="J679" t="str">
        <f>HYPERLINK("Gene2995-zp_tree_all.dnd", "Gene2995-tree")</f>
        <v>Gene2995-tree</v>
      </c>
      <c r="K679">
        <v>3</v>
      </c>
      <c r="L679">
        <v>2</v>
      </c>
      <c r="M679">
        <v>3</v>
      </c>
      <c r="N679">
        <v>2</v>
      </c>
      <c r="O679">
        <v>0.4</v>
      </c>
      <c r="P679" t="s">
        <v>86</v>
      </c>
      <c r="Q679" t="s">
        <v>124</v>
      </c>
      <c r="R679" t="s">
        <v>66</v>
      </c>
      <c r="S679" t="s">
        <v>66</v>
      </c>
      <c r="T679">
        <v>0</v>
      </c>
      <c r="U679">
        <v>0</v>
      </c>
      <c r="V679">
        <v>3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3</v>
      </c>
      <c r="AG679">
        <v>0</v>
      </c>
      <c r="AH679">
        <v>5</v>
      </c>
      <c r="AI679">
        <v>2</v>
      </c>
      <c r="AJ679">
        <v>25</v>
      </c>
      <c r="AK679">
        <v>2</v>
      </c>
      <c r="AL679">
        <v>15</v>
      </c>
      <c r="AM679">
        <v>1</v>
      </c>
      <c r="AN679" t="s">
        <v>2988</v>
      </c>
      <c r="AO679" t="s">
        <v>2989</v>
      </c>
      <c r="AP679">
        <v>0.14199999999999999</v>
      </c>
      <c r="AQ679" t="s">
        <v>69</v>
      </c>
      <c r="AR679">
        <v>40</v>
      </c>
      <c r="AS679">
        <v>3</v>
      </c>
      <c r="AT679">
        <v>2.6409999999999999E-2</v>
      </c>
      <c r="AU679">
        <v>-4.0299999999999997E-3</v>
      </c>
      <c r="AV679">
        <v>0.11508</v>
      </c>
      <c r="AW679">
        <v>-1.788E-2</v>
      </c>
      <c r="AX679">
        <v>2.3999999999999998E-3</v>
      </c>
      <c r="AY679">
        <v>-5.0000000000000001E-4</v>
      </c>
      <c r="AZ679">
        <v>2.0820000000000002E-2</v>
      </c>
      <c r="BA679">
        <v>1</v>
      </c>
      <c r="BB679" t="s">
        <v>70</v>
      </c>
      <c r="BC679">
        <v>1.4999999999999999E-2</v>
      </c>
      <c r="BD679">
        <v>1.4999999999999999E-2</v>
      </c>
      <c r="BE679" t="s">
        <v>71</v>
      </c>
    </row>
    <row r="680" spans="1:57">
      <c r="A680">
        <v>2995</v>
      </c>
      <c r="B680" t="s">
        <v>2986</v>
      </c>
      <c r="D680" t="s">
        <v>66</v>
      </c>
      <c r="E680" t="s">
        <v>2987</v>
      </c>
      <c r="F680" t="s">
        <v>2639</v>
      </c>
      <c r="G680">
        <v>255</v>
      </c>
      <c r="H680" t="s">
        <v>63</v>
      </c>
      <c r="I680">
        <v>5</v>
      </c>
      <c r="J680" t="str">
        <f>HYPERLINK("Gene2995-zp_tree_all.dnd", "Gene2995-tree")</f>
        <v>Gene2995-tree</v>
      </c>
      <c r="K680">
        <v>3</v>
      </c>
      <c r="L680">
        <v>2</v>
      </c>
      <c r="M680">
        <v>3</v>
      </c>
      <c r="N680">
        <v>2</v>
      </c>
      <c r="O680">
        <v>0.4</v>
      </c>
      <c r="P680" t="s">
        <v>86</v>
      </c>
      <c r="Q680" t="s">
        <v>124</v>
      </c>
      <c r="R680" t="s">
        <v>66</v>
      </c>
      <c r="S680" t="s">
        <v>66</v>
      </c>
      <c r="T680">
        <v>0</v>
      </c>
      <c r="U680">
        <v>0</v>
      </c>
      <c r="V680">
        <v>3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3</v>
      </c>
      <c r="AG680">
        <v>0</v>
      </c>
      <c r="AH680">
        <v>5</v>
      </c>
      <c r="AI680">
        <v>2</v>
      </c>
      <c r="AJ680">
        <v>25</v>
      </c>
      <c r="AK680">
        <v>2</v>
      </c>
      <c r="AL680">
        <v>15</v>
      </c>
      <c r="AM680">
        <v>1</v>
      </c>
      <c r="AN680" t="s">
        <v>2988</v>
      </c>
      <c r="AO680" t="s">
        <v>2989</v>
      </c>
      <c r="AP680">
        <v>0.14199999999999999</v>
      </c>
      <c r="AQ680" t="s">
        <v>69</v>
      </c>
      <c r="AR680">
        <v>40</v>
      </c>
      <c r="AS680">
        <v>3</v>
      </c>
      <c r="AT680">
        <v>2.6409999999999999E-2</v>
      </c>
      <c r="AU680">
        <v>-4.0299999999999997E-3</v>
      </c>
      <c r="AV680">
        <v>0.11508</v>
      </c>
      <c r="AW680">
        <v>-1.788E-2</v>
      </c>
      <c r="AX680">
        <v>2.3999999999999998E-3</v>
      </c>
      <c r="AY680">
        <v>-5.0000000000000001E-4</v>
      </c>
      <c r="AZ680">
        <v>2.0820000000000002E-2</v>
      </c>
      <c r="BA680">
        <v>1</v>
      </c>
      <c r="BB680" t="s">
        <v>70</v>
      </c>
      <c r="BC680">
        <v>1.4999999999999999E-2</v>
      </c>
      <c r="BD680">
        <v>1.4999999999999999E-2</v>
      </c>
      <c r="BE680" t="s">
        <v>71</v>
      </c>
    </row>
    <row r="681" spans="1:57">
      <c r="A681">
        <v>2995</v>
      </c>
      <c r="B681" t="s">
        <v>2986</v>
      </c>
      <c r="D681" t="s">
        <v>66</v>
      </c>
      <c r="E681" t="s">
        <v>2987</v>
      </c>
      <c r="F681" t="s">
        <v>2639</v>
      </c>
      <c r="G681">
        <v>255</v>
      </c>
      <c r="H681" t="s">
        <v>63</v>
      </c>
      <c r="I681">
        <v>5</v>
      </c>
      <c r="J681" t="str">
        <f>HYPERLINK("Gene2995-zp_tree_all.dnd", "Gene2995-tree")</f>
        <v>Gene2995-tree</v>
      </c>
      <c r="K681">
        <v>3</v>
      </c>
      <c r="L681">
        <v>2</v>
      </c>
      <c r="M681">
        <v>3</v>
      </c>
      <c r="N681">
        <v>2</v>
      </c>
      <c r="O681">
        <v>0.4</v>
      </c>
      <c r="P681" t="s">
        <v>86</v>
      </c>
      <c r="Q681" t="s">
        <v>124</v>
      </c>
      <c r="R681" t="s">
        <v>66</v>
      </c>
      <c r="S681" t="s">
        <v>66</v>
      </c>
      <c r="T681">
        <v>0</v>
      </c>
      <c r="U681">
        <v>0</v>
      </c>
      <c r="V681">
        <v>3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3</v>
      </c>
      <c r="AG681">
        <v>0</v>
      </c>
      <c r="AH681">
        <v>5</v>
      </c>
      <c r="AI681">
        <v>2</v>
      </c>
      <c r="AJ681">
        <v>25</v>
      </c>
      <c r="AK681">
        <v>2</v>
      </c>
      <c r="AL681">
        <v>15</v>
      </c>
      <c r="AM681">
        <v>1</v>
      </c>
      <c r="AN681" t="s">
        <v>2988</v>
      </c>
      <c r="AO681" t="s">
        <v>2989</v>
      </c>
      <c r="AP681">
        <v>0.14199999999999999</v>
      </c>
      <c r="AQ681" t="s">
        <v>69</v>
      </c>
      <c r="AR681">
        <v>40</v>
      </c>
      <c r="AS681">
        <v>3</v>
      </c>
      <c r="AT681">
        <v>2.6409999999999999E-2</v>
      </c>
      <c r="AU681">
        <v>-4.0299999999999997E-3</v>
      </c>
      <c r="AV681">
        <v>0.11508</v>
      </c>
      <c r="AW681">
        <v>-1.788E-2</v>
      </c>
      <c r="AX681">
        <v>2.3999999999999998E-3</v>
      </c>
      <c r="AY681">
        <v>-5.0000000000000001E-4</v>
      </c>
      <c r="AZ681">
        <v>2.0820000000000002E-2</v>
      </c>
      <c r="BA681">
        <v>1</v>
      </c>
      <c r="BB681" t="s">
        <v>70</v>
      </c>
      <c r="BC681">
        <v>1.4999999999999999E-2</v>
      </c>
      <c r="BD681">
        <v>1.4999999999999999E-2</v>
      </c>
      <c r="BE681" t="s">
        <v>71</v>
      </c>
    </row>
    <row r="682" spans="1:57">
      <c r="A682">
        <v>2995</v>
      </c>
      <c r="B682" t="s">
        <v>2986</v>
      </c>
      <c r="D682" t="s">
        <v>66</v>
      </c>
      <c r="E682" t="s">
        <v>2987</v>
      </c>
      <c r="F682" t="s">
        <v>2639</v>
      </c>
      <c r="G682">
        <v>255</v>
      </c>
      <c r="H682" t="s">
        <v>63</v>
      </c>
      <c r="I682">
        <v>5</v>
      </c>
      <c r="J682" t="str">
        <f>HYPERLINK("Gene2995-zp_tree_all.dnd", "Gene2995-tree")</f>
        <v>Gene2995-tree</v>
      </c>
      <c r="K682">
        <v>3</v>
      </c>
      <c r="L682">
        <v>2</v>
      </c>
      <c r="M682">
        <v>3</v>
      </c>
      <c r="N682">
        <v>2</v>
      </c>
      <c r="O682">
        <v>0.4</v>
      </c>
      <c r="P682" t="s">
        <v>86</v>
      </c>
      <c r="Q682" t="s">
        <v>124</v>
      </c>
      <c r="R682" t="s">
        <v>66</v>
      </c>
      <c r="S682" t="s">
        <v>66</v>
      </c>
      <c r="T682">
        <v>0</v>
      </c>
      <c r="U682">
        <v>0</v>
      </c>
      <c r="V682">
        <v>3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3</v>
      </c>
      <c r="AG682">
        <v>0</v>
      </c>
      <c r="AH682">
        <v>5</v>
      </c>
      <c r="AI682">
        <v>2</v>
      </c>
      <c r="AJ682">
        <v>25</v>
      </c>
      <c r="AK682">
        <v>2</v>
      </c>
      <c r="AL682">
        <v>15</v>
      </c>
      <c r="AM682">
        <v>1</v>
      </c>
      <c r="AN682" t="s">
        <v>2988</v>
      </c>
      <c r="AO682" t="s">
        <v>2989</v>
      </c>
      <c r="AP682">
        <v>0.14199999999999999</v>
      </c>
      <c r="AQ682" t="s">
        <v>69</v>
      </c>
      <c r="AR682">
        <v>40</v>
      </c>
      <c r="AS682">
        <v>3</v>
      </c>
      <c r="AT682">
        <v>2.6409999999999999E-2</v>
      </c>
      <c r="AU682">
        <v>-4.0299999999999997E-3</v>
      </c>
      <c r="AV682">
        <v>0.11508</v>
      </c>
      <c r="AW682">
        <v>-1.788E-2</v>
      </c>
      <c r="AX682">
        <v>2.3999999999999998E-3</v>
      </c>
      <c r="AY682">
        <v>-5.0000000000000001E-4</v>
      </c>
      <c r="AZ682">
        <v>2.0820000000000002E-2</v>
      </c>
      <c r="BA682">
        <v>1</v>
      </c>
      <c r="BB682" t="s">
        <v>70</v>
      </c>
      <c r="BC682">
        <v>1.4999999999999999E-2</v>
      </c>
      <c r="BD682">
        <v>1.4999999999999999E-2</v>
      </c>
      <c r="BE682" t="s">
        <v>71</v>
      </c>
    </row>
    <row r="683" spans="1:57">
      <c r="A683">
        <v>2996</v>
      </c>
      <c r="B683" t="s">
        <v>2990</v>
      </c>
      <c r="D683" t="s">
        <v>66</v>
      </c>
      <c r="E683" t="s">
        <v>2991</v>
      </c>
      <c r="F683" t="s">
        <v>74</v>
      </c>
      <c r="G683">
        <v>44</v>
      </c>
      <c r="H683" t="s">
        <v>1308</v>
      </c>
      <c r="I683">
        <v>4</v>
      </c>
      <c r="J683" t="str">
        <f>HYPERLINK("Gene2996-zp_tree_all.dnd", "Gene2996-tree")</f>
        <v>Gene2996-tree</v>
      </c>
      <c r="K683">
        <v>4</v>
      </c>
      <c r="L683">
        <v>0</v>
      </c>
      <c r="M683">
        <v>4</v>
      </c>
      <c r="N683">
        <v>0</v>
      </c>
      <c r="O683">
        <v>0</v>
      </c>
      <c r="P683" t="s">
        <v>64</v>
      </c>
      <c r="Q683" t="s">
        <v>66</v>
      </c>
      <c r="R683" t="s">
        <v>66</v>
      </c>
      <c r="S683" t="s">
        <v>66</v>
      </c>
      <c r="T683">
        <v>0</v>
      </c>
      <c r="U683">
        <v>0</v>
      </c>
      <c r="V683">
        <v>3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2</v>
      </c>
      <c r="AI683">
        <v>1</v>
      </c>
      <c r="AJ683">
        <v>2</v>
      </c>
      <c r="AK683">
        <v>0</v>
      </c>
      <c r="AL683">
        <v>1</v>
      </c>
      <c r="AM683">
        <v>3</v>
      </c>
      <c r="AN683" t="s">
        <v>68</v>
      </c>
      <c r="AO683" t="s">
        <v>2992</v>
      </c>
      <c r="AP683">
        <v>0</v>
      </c>
      <c r="AQ683" t="s">
        <v>69</v>
      </c>
      <c r="AR683">
        <v>3</v>
      </c>
      <c r="AS683">
        <v>3</v>
      </c>
      <c r="AT683">
        <v>2.8420000000000001E-2</v>
      </c>
      <c r="AU683">
        <v>-6.2399999999999999E-3</v>
      </c>
      <c r="AV683">
        <v>6.5030000000000004E-2</v>
      </c>
      <c r="AW683">
        <v>-1.2449999999999999E-2</v>
      </c>
      <c r="AX683">
        <v>0.02</v>
      </c>
      <c r="AY683">
        <v>-4.7099999999999998E-3</v>
      </c>
      <c r="AZ683">
        <v>0.30758000000000002</v>
      </c>
      <c r="BA683">
        <v>0.89700000000000002</v>
      </c>
      <c r="BB683" t="s">
        <v>188</v>
      </c>
      <c r="BC683">
        <v>1.1679999999999999</v>
      </c>
      <c r="BD683">
        <v>1.1679999999999999</v>
      </c>
      <c r="BE683" t="s">
        <v>71</v>
      </c>
    </row>
    <row r="684" spans="1:57">
      <c r="A684">
        <v>2998</v>
      </c>
      <c r="B684" t="s">
        <v>2993</v>
      </c>
      <c r="D684" t="s">
        <v>66</v>
      </c>
      <c r="E684" t="s">
        <v>2994</v>
      </c>
      <c r="F684" t="s">
        <v>2995</v>
      </c>
      <c r="G684">
        <v>403</v>
      </c>
      <c r="H684" t="s">
        <v>63</v>
      </c>
      <c r="I684">
        <v>5</v>
      </c>
      <c r="J684" t="str">
        <f>HYPERLINK("Gene2998-zp_tree_all.dnd", "Gene2998-tree")</f>
        <v>Gene2998-tree</v>
      </c>
      <c r="K684">
        <v>3</v>
      </c>
      <c r="L684">
        <v>2</v>
      </c>
      <c r="M684">
        <v>3</v>
      </c>
      <c r="N684">
        <v>2</v>
      </c>
      <c r="O684">
        <v>0.4</v>
      </c>
      <c r="P684" t="s">
        <v>86</v>
      </c>
      <c r="Q684" t="s">
        <v>124</v>
      </c>
      <c r="R684" t="s">
        <v>66</v>
      </c>
      <c r="S684" t="s">
        <v>66</v>
      </c>
      <c r="T684">
        <v>0</v>
      </c>
      <c r="U684">
        <v>0</v>
      </c>
      <c r="V684">
        <v>4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4</v>
      </c>
      <c r="AG684">
        <v>0</v>
      </c>
      <c r="AH684">
        <v>5</v>
      </c>
      <c r="AI684">
        <v>2</v>
      </c>
      <c r="AJ684">
        <v>51</v>
      </c>
      <c r="AK684">
        <v>4</v>
      </c>
      <c r="AL684">
        <v>35</v>
      </c>
      <c r="AM684">
        <v>0</v>
      </c>
      <c r="AN684" t="s">
        <v>2996</v>
      </c>
      <c r="AO684" t="s">
        <v>68</v>
      </c>
      <c r="AP684">
        <v>0.97199999999999998</v>
      </c>
      <c r="AQ684" t="s">
        <v>69</v>
      </c>
      <c r="AR684">
        <v>86</v>
      </c>
      <c r="AS684">
        <v>4</v>
      </c>
      <c r="AT684">
        <v>3.4000000000000002E-2</v>
      </c>
      <c r="AU684">
        <v>-4.7699999999999999E-3</v>
      </c>
      <c r="AV684">
        <v>0.15941</v>
      </c>
      <c r="AW684">
        <v>-2.3939999999999999E-2</v>
      </c>
      <c r="AX684">
        <v>1.73E-3</v>
      </c>
      <c r="AY684">
        <v>-4.8999999999999998E-4</v>
      </c>
      <c r="AZ684">
        <v>1.0840000000000001E-2</v>
      </c>
      <c r="BA684">
        <v>1</v>
      </c>
      <c r="BB684" t="s">
        <v>70</v>
      </c>
      <c r="BC684">
        <v>0.33500000000000002</v>
      </c>
      <c r="BD684">
        <v>8.5000000000000006E-2</v>
      </c>
      <c r="BE684" t="s">
        <v>71</v>
      </c>
    </row>
    <row r="685" spans="1:57">
      <c r="A685">
        <v>3000</v>
      </c>
      <c r="B685" t="s">
        <v>2997</v>
      </c>
      <c r="D685" t="s">
        <v>66</v>
      </c>
      <c r="E685" t="s">
        <v>2998</v>
      </c>
      <c r="F685" t="s">
        <v>2999</v>
      </c>
      <c r="G685">
        <v>395</v>
      </c>
      <c r="H685" t="s">
        <v>63</v>
      </c>
      <c r="I685">
        <v>5</v>
      </c>
      <c r="J685" t="str">
        <f>HYPERLINK("Gene3000-zp_tree_all.dnd", "Gene3000-tree")</f>
        <v>Gene3000-tree</v>
      </c>
      <c r="K685">
        <v>5</v>
      </c>
      <c r="L685">
        <v>0</v>
      </c>
      <c r="M685">
        <v>5</v>
      </c>
      <c r="N685">
        <v>0</v>
      </c>
      <c r="O685">
        <v>0</v>
      </c>
      <c r="P685" t="s">
        <v>96</v>
      </c>
      <c r="Q685" t="s">
        <v>66</v>
      </c>
      <c r="R685" t="s">
        <v>66</v>
      </c>
      <c r="S685" t="s">
        <v>66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5</v>
      </c>
      <c r="AI685">
        <v>2</v>
      </c>
      <c r="AJ685">
        <v>44</v>
      </c>
      <c r="AK685">
        <v>0</v>
      </c>
      <c r="AL685">
        <v>30</v>
      </c>
      <c r="AM685">
        <v>0</v>
      </c>
      <c r="AN685" t="s">
        <v>68</v>
      </c>
      <c r="AO685" t="s">
        <v>68</v>
      </c>
      <c r="AP685">
        <v>0</v>
      </c>
      <c r="AQ685" t="s">
        <v>69</v>
      </c>
      <c r="AR685">
        <v>74</v>
      </c>
      <c r="AS685">
        <v>0</v>
      </c>
      <c r="AT685">
        <v>2.861E-2</v>
      </c>
      <c r="AU685">
        <v>-4.0000000000000001E-3</v>
      </c>
      <c r="AV685">
        <v>0.13519999999999999</v>
      </c>
      <c r="AW685">
        <v>-1.9910000000000001E-2</v>
      </c>
      <c r="AX685">
        <v>0</v>
      </c>
      <c r="AY685">
        <v>0</v>
      </c>
      <c r="AZ685">
        <v>0</v>
      </c>
      <c r="BA685">
        <v>1</v>
      </c>
      <c r="BB685" t="s">
        <v>70</v>
      </c>
      <c r="BC685">
        <v>0.41</v>
      </c>
      <c r="BD685">
        <v>8.9999999999999993E-3</v>
      </c>
      <c r="BE685" t="s">
        <v>71</v>
      </c>
    </row>
    <row r="686" spans="1:57">
      <c r="A686">
        <v>3002</v>
      </c>
      <c r="B686" t="s">
        <v>3000</v>
      </c>
      <c r="D686" t="s">
        <v>66</v>
      </c>
      <c r="E686" t="s">
        <v>3001</v>
      </c>
      <c r="F686" t="s">
        <v>3002</v>
      </c>
      <c r="G686">
        <v>167</v>
      </c>
      <c r="H686" t="s">
        <v>63</v>
      </c>
      <c r="I686">
        <v>5</v>
      </c>
      <c r="J686" t="str">
        <f>HYPERLINK("Gene3002-zp_tree_all.dnd", "Gene3002-tree")</f>
        <v>Gene3002-tree</v>
      </c>
      <c r="K686">
        <v>4</v>
      </c>
      <c r="L686">
        <v>1</v>
      </c>
      <c r="M686">
        <v>4</v>
      </c>
      <c r="N686">
        <v>1</v>
      </c>
      <c r="O686">
        <v>0.2</v>
      </c>
      <c r="P686" t="s">
        <v>64</v>
      </c>
      <c r="Q686" t="s">
        <v>65</v>
      </c>
      <c r="R686" t="s">
        <v>66</v>
      </c>
      <c r="S686" t="s">
        <v>66</v>
      </c>
      <c r="T686">
        <v>0</v>
      </c>
      <c r="U686">
        <v>0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1</v>
      </c>
      <c r="AG686">
        <v>0</v>
      </c>
      <c r="AH686">
        <v>3</v>
      </c>
      <c r="AI686">
        <v>1</v>
      </c>
      <c r="AJ686">
        <v>4</v>
      </c>
      <c r="AK686">
        <v>1</v>
      </c>
      <c r="AL686">
        <v>14</v>
      </c>
      <c r="AM686">
        <v>0</v>
      </c>
      <c r="AN686" t="s">
        <v>3003</v>
      </c>
      <c r="AO686" t="s">
        <v>68</v>
      </c>
      <c r="AP686">
        <v>0.60099999999999998</v>
      </c>
      <c r="AQ686" t="s">
        <v>69</v>
      </c>
      <c r="AR686">
        <v>18</v>
      </c>
      <c r="AS686">
        <v>1</v>
      </c>
      <c r="AT686">
        <v>2.0760000000000001E-2</v>
      </c>
      <c r="AU686">
        <v>-4.5399999999999998E-3</v>
      </c>
      <c r="AV686">
        <v>9.2520000000000005E-2</v>
      </c>
      <c r="AW686">
        <v>-2.1579999999999998E-2</v>
      </c>
      <c r="AX686">
        <v>1.0499999999999999E-3</v>
      </c>
      <c r="AY686">
        <v>-3.6000000000000002E-4</v>
      </c>
      <c r="AZ686">
        <v>1.133E-2</v>
      </c>
      <c r="BA686">
        <v>1</v>
      </c>
      <c r="BB686" t="s">
        <v>70</v>
      </c>
      <c r="BC686">
        <v>1.036</v>
      </c>
      <c r="BD686">
        <v>1.036</v>
      </c>
      <c r="BE686" t="s">
        <v>71</v>
      </c>
    </row>
    <row r="687" spans="1:57">
      <c r="A687">
        <v>3003</v>
      </c>
      <c r="B687" t="s">
        <v>3004</v>
      </c>
      <c r="D687" t="s">
        <v>66</v>
      </c>
      <c r="E687" t="s">
        <v>3005</v>
      </c>
      <c r="F687" t="s">
        <v>3006</v>
      </c>
      <c r="G687">
        <v>151</v>
      </c>
      <c r="H687" t="s">
        <v>106</v>
      </c>
      <c r="I687">
        <v>4</v>
      </c>
      <c r="J687" t="str">
        <f>HYPERLINK("Gene3003-zp_tree_all.dnd", "Gene3003-tree")</f>
        <v>Gene3003-tree</v>
      </c>
      <c r="K687">
        <v>3</v>
      </c>
      <c r="L687">
        <v>1</v>
      </c>
      <c r="M687">
        <v>3</v>
      </c>
      <c r="N687">
        <v>1</v>
      </c>
      <c r="O687">
        <v>0.25</v>
      </c>
      <c r="P687" t="s">
        <v>86</v>
      </c>
      <c r="Q687" t="s">
        <v>65</v>
      </c>
      <c r="R687" t="s">
        <v>66</v>
      </c>
      <c r="S687" t="s">
        <v>66</v>
      </c>
      <c r="T687">
        <v>0</v>
      </c>
      <c r="U687">
        <v>0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0</v>
      </c>
      <c r="AH687">
        <v>4</v>
      </c>
      <c r="AI687">
        <v>1</v>
      </c>
      <c r="AJ687">
        <v>21</v>
      </c>
      <c r="AK687">
        <v>1</v>
      </c>
      <c r="AL687">
        <v>4</v>
      </c>
      <c r="AM687">
        <v>0</v>
      </c>
      <c r="AN687" t="s">
        <v>3007</v>
      </c>
      <c r="AO687" t="s">
        <v>68</v>
      </c>
      <c r="AP687">
        <v>0.46600000000000003</v>
      </c>
      <c r="AQ687" t="s">
        <v>69</v>
      </c>
      <c r="AR687">
        <v>25</v>
      </c>
      <c r="AS687">
        <v>1</v>
      </c>
      <c r="AT687">
        <v>2.9069999999999999E-2</v>
      </c>
      <c r="AU687">
        <v>-6.7099999999999998E-3</v>
      </c>
      <c r="AV687">
        <v>0.15487000000000001</v>
      </c>
      <c r="AW687">
        <v>-3.6830000000000002E-2</v>
      </c>
      <c r="AX687">
        <v>1.39E-3</v>
      </c>
      <c r="AY687">
        <v>-5.6999999999999998E-4</v>
      </c>
      <c r="AZ687">
        <v>8.9999999999999993E-3</v>
      </c>
      <c r="BA687">
        <v>1</v>
      </c>
      <c r="BB687" t="s">
        <v>70</v>
      </c>
      <c r="BC687">
        <v>0.06</v>
      </c>
      <c r="BD687">
        <v>-0.72699999999999998</v>
      </c>
      <c r="BE687" t="s">
        <v>71</v>
      </c>
    </row>
    <row r="688" spans="1:57">
      <c r="A688">
        <v>3016</v>
      </c>
      <c r="B688" t="s">
        <v>3011</v>
      </c>
      <c r="D688" t="s">
        <v>66</v>
      </c>
      <c r="E688" t="s">
        <v>3012</v>
      </c>
      <c r="F688" t="s">
        <v>666</v>
      </c>
      <c r="G688">
        <v>207</v>
      </c>
      <c r="H688" t="s">
        <v>63</v>
      </c>
      <c r="I688">
        <v>5</v>
      </c>
      <c r="J688" t="str">
        <f>HYPERLINK("Gene3016-zp_tree_all.dnd", "Gene3016-tree")</f>
        <v>Gene3016-tree</v>
      </c>
      <c r="K688">
        <v>4</v>
      </c>
      <c r="L688">
        <v>1</v>
      </c>
      <c r="M688">
        <v>4</v>
      </c>
      <c r="N688">
        <v>1</v>
      </c>
      <c r="O688">
        <v>0.2</v>
      </c>
      <c r="P688" t="s">
        <v>64</v>
      </c>
      <c r="Q688" t="s">
        <v>65</v>
      </c>
      <c r="R688" t="s">
        <v>66</v>
      </c>
      <c r="S688" t="s">
        <v>66</v>
      </c>
      <c r="T688">
        <v>0</v>
      </c>
      <c r="U688">
        <v>0</v>
      </c>
      <c r="V688">
        <v>3</v>
      </c>
      <c r="W688">
        <v>0</v>
      </c>
      <c r="X688">
        <v>0</v>
      </c>
      <c r="Y688">
        <v>0</v>
      </c>
      <c r="Z688">
        <v>0</v>
      </c>
      <c r="AA688">
        <v>2</v>
      </c>
      <c r="AB688">
        <v>0</v>
      </c>
      <c r="AC688">
        <v>0</v>
      </c>
      <c r="AD688">
        <v>0</v>
      </c>
      <c r="AE688">
        <v>0</v>
      </c>
      <c r="AF688">
        <v>1</v>
      </c>
      <c r="AG688">
        <v>0</v>
      </c>
      <c r="AH688">
        <v>5</v>
      </c>
      <c r="AI688">
        <v>2</v>
      </c>
      <c r="AJ688">
        <v>11</v>
      </c>
      <c r="AK688">
        <v>1</v>
      </c>
      <c r="AL688">
        <v>12</v>
      </c>
      <c r="AM688">
        <v>2</v>
      </c>
      <c r="AN688" t="s">
        <v>3013</v>
      </c>
      <c r="AO688" t="s">
        <v>3014</v>
      </c>
      <c r="AP688">
        <v>0.245</v>
      </c>
      <c r="AQ688" t="s">
        <v>69</v>
      </c>
      <c r="AR688">
        <v>23</v>
      </c>
      <c r="AS688">
        <v>3</v>
      </c>
      <c r="AT688">
        <v>2.1569999999999999E-2</v>
      </c>
      <c r="AU688">
        <v>-3.9300000000000003E-3</v>
      </c>
      <c r="AV688">
        <v>9.2969999999999997E-2</v>
      </c>
      <c r="AW688">
        <v>-1.789E-2</v>
      </c>
      <c r="AX688">
        <v>3.3700000000000002E-3</v>
      </c>
      <c r="AY688">
        <v>-5.9000000000000003E-4</v>
      </c>
      <c r="AZ688">
        <v>3.6240000000000001E-2</v>
      </c>
      <c r="BA688">
        <v>1</v>
      </c>
      <c r="BB688" t="s">
        <v>70</v>
      </c>
      <c r="BC688">
        <v>0.43</v>
      </c>
      <c r="BD688">
        <v>0.43</v>
      </c>
      <c r="BE688" t="s">
        <v>71</v>
      </c>
    </row>
    <row r="689" spans="1:57">
      <c r="A689">
        <v>3028</v>
      </c>
      <c r="B689" t="s">
        <v>3031</v>
      </c>
      <c r="D689" t="s">
        <v>66</v>
      </c>
      <c r="E689" t="s">
        <v>3032</v>
      </c>
      <c r="F689" t="s">
        <v>3033</v>
      </c>
      <c r="G689">
        <v>334</v>
      </c>
      <c r="H689" t="s">
        <v>63</v>
      </c>
      <c r="I689">
        <v>5</v>
      </c>
      <c r="J689" t="str">
        <f>HYPERLINK("Gene3028-zp_tree_all.dnd", "Gene3028-tree")</f>
        <v>Gene3028-tree</v>
      </c>
      <c r="K689">
        <v>3</v>
      </c>
      <c r="L689">
        <v>2</v>
      </c>
      <c r="M689">
        <v>3</v>
      </c>
      <c r="N689">
        <v>2</v>
      </c>
      <c r="O689">
        <v>0.4</v>
      </c>
      <c r="P689" t="s">
        <v>86</v>
      </c>
      <c r="Q689" t="s">
        <v>124</v>
      </c>
      <c r="R689" t="s">
        <v>66</v>
      </c>
      <c r="S689" t="s">
        <v>66</v>
      </c>
      <c r="T689">
        <v>0</v>
      </c>
      <c r="U689">
        <v>0</v>
      </c>
      <c r="V689">
        <v>5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0</v>
      </c>
      <c r="AF689">
        <v>4</v>
      </c>
      <c r="AG689">
        <v>0</v>
      </c>
      <c r="AH689">
        <v>5</v>
      </c>
      <c r="AI689">
        <v>2</v>
      </c>
      <c r="AJ689">
        <v>46</v>
      </c>
      <c r="AK689">
        <v>2</v>
      </c>
      <c r="AL689">
        <v>20</v>
      </c>
      <c r="AM689">
        <v>3</v>
      </c>
      <c r="AN689" t="s">
        <v>3034</v>
      </c>
      <c r="AO689" t="s">
        <v>3035</v>
      </c>
      <c r="AP689">
        <v>1.1930000000000001</v>
      </c>
      <c r="AQ689" t="s">
        <v>69</v>
      </c>
      <c r="AR689">
        <v>66</v>
      </c>
      <c r="AS689">
        <v>5</v>
      </c>
      <c r="AT689">
        <v>3.0839999999999999E-2</v>
      </c>
      <c r="AU689">
        <v>-4.2300000000000003E-3</v>
      </c>
      <c r="AV689">
        <v>0.13131000000000001</v>
      </c>
      <c r="AW689">
        <v>-1.8519999999999998E-2</v>
      </c>
      <c r="AX689">
        <v>3.8E-3</v>
      </c>
      <c r="AY689">
        <v>-7.1000000000000002E-4</v>
      </c>
      <c r="AZ689">
        <v>2.894E-2</v>
      </c>
      <c r="BA689">
        <v>1</v>
      </c>
      <c r="BB689" t="s">
        <v>70</v>
      </c>
      <c r="BC689">
        <v>0.41899999999999998</v>
      </c>
      <c r="BD689">
        <v>-7.1999999999999995E-2</v>
      </c>
      <c r="BE689" t="s">
        <v>71</v>
      </c>
    </row>
    <row r="690" spans="1:57">
      <c r="A690">
        <v>3029</v>
      </c>
      <c r="B690" t="s">
        <v>3036</v>
      </c>
      <c r="D690" t="s">
        <v>66</v>
      </c>
      <c r="E690" t="s">
        <v>3037</v>
      </c>
      <c r="F690" t="s">
        <v>3038</v>
      </c>
      <c r="G690">
        <v>358</v>
      </c>
      <c r="H690" t="s">
        <v>63</v>
      </c>
      <c r="I690">
        <v>5</v>
      </c>
      <c r="J690" t="str">
        <f>HYPERLINK("Gene3029-zp_tree_all.dnd", "Gene3029-tree")</f>
        <v>Gene3029-tree</v>
      </c>
      <c r="K690">
        <v>5</v>
      </c>
      <c r="L690">
        <v>0</v>
      </c>
      <c r="M690">
        <v>5</v>
      </c>
      <c r="N690">
        <v>0</v>
      </c>
      <c r="O690">
        <v>0</v>
      </c>
      <c r="P690" t="s">
        <v>96</v>
      </c>
      <c r="Q690" t="s">
        <v>66</v>
      </c>
      <c r="R690" t="s">
        <v>66</v>
      </c>
      <c r="S690" t="s">
        <v>66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5</v>
      </c>
      <c r="AI690">
        <v>2</v>
      </c>
      <c r="AJ690">
        <v>33</v>
      </c>
      <c r="AK690">
        <v>0</v>
      </c>
      <c r="AL690">
        <v>32</v>
      </c>
      <c r="AM690">
        <v>0</v>
      </c>
      <c r="AN690" t="s">
        <v>68</v>
      </c>
      <c r="AO690" t="s">
        <v>68</v>
      </c>
      <c r="AP690">
        <v>0</v>
      </c>
      <c r="AQ690" t="s">
        <v>69</v>
      </c>
      <c r="AR690">
        <v>65</v>
      </c>
      <c r="AS690">
        <v>0</v>
      </c>
      <c r="AT690">
        <v>2.9610000000000001E-2</v>
      </c>
      <c r="AU690">
        <v>-4.8599999999999997E-3</v>
      </c>
      <c r="AV690">
        <v>0.14756</v>
      </c>
      <c r="AW690">
        <v>-2.538E-2</v>
      </c>
      <c r="AX690">
        <v>0</v>
      </c>
      <c r="AY690">
        <v>0</v>
      </c>
      <c r="AZ690">
        <v>0</v>
      </c>
      <c r="BA690">
        <v>1</v>
      </c>
      <c r="BB690" t="s">
        <v>70</v>
      </c>
      <c r="BC690">
        <v>0.51900000000000002</v>
      </c>
      <c r="BD690">
        <v>0.26400000000000001</v>
      </c>
      <c r="BE690" t="s">
        <v>71</v>
      </c>
    </row>
    <row r="691" spans="1:57">
      <c r="A691">
        <v>3032</v>
      </c>
      <c r="B691" t="s">
        <v>3039</v>
      </c>
      <c r="D691" t="s">
        <v>66</v>
      </c>
      <c r="E691" t="s">
        <v>3040</v>
      </c>
      <c r="F691" t="s">
        <v>74</v>
      </c>
      <c r="G691">
        <v>140</v>
      </c>
      <c r="H691" t="s">
        <v>106</v>
      </c>
      <c r="I691">
        <v>4</v>
      </c>
      <c r="J691" t="str">
        <f>HYPERLINK("Gene3032-zp_tree_all.dnd", "Gene3032-tree")</f>
        <v>Gene3032-tree</v>
      </c>
      <c r="K691">
        <v>3</v>
      </c>
      <c r="L691">
        <v>1</v>
      </c>
      <c r="M691">
        <v>3</v>
      </c>
      <c r="N691">
        <v>1</v>
      </c>
      <c r="O691">
        <v>0.25</v>
      </c>
      <c r="P691" t="s">
        <v>86</v>
      </c>
      <c r="Q691" t="s">
        <v>65</v>
      </c>
      <c r="R691" t="s">
        <v>66</v>
      </c>
      <c r="S691" t="s">
        <v>66</v>
      </c>
      <c r="T691">
        <v>0</v>
      </c>
      <c r="U691">
        <v>0</v>
      </c>
      <c r="V691">
        <v>3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3</v>
      </c>
      <c r="AG691">
        <v>0</v>
      </c>
      <c r="AH691">
        <v>3</v>
      </c>
      <c r="AI691">
        <v>0</v>
      </c>
      <c r="AJ691">
        <v>17</v>
      </c>
      <c r="AK691">
        <v>3</v>
      </c>
      <c r="AL691">
        <v>0</v>
      </c>
      <c r="AM691">
        <v>0</v>
      </c>
      <c r="AN691" t="s">
        <v>3041</v>
      </c>
      <c r="AO691" t="s">
        <v>68</v>
      </c>
      <c r="AP691">
        <v>0.55000000000000004</v>
      </c>
      <c r="AQ691" t="s">
        <v>69</v>
      </c>
      <c r="AR691">
        <v>17</v>
      </c>
      <c r="AS691">
        <v>3</v>
      </c>
      <c r="AT691">
        <v>2.4330000000000001E-2</v>
      </c>
      <c r="AU691">
        <v>-7.9900000000000006E-3</v>
      </c>
      <c r="AV691">
        <v>0.10017</v>
      </c>
      <c r="AW691">
        <v>-3.2349999999999997E-2</v>
      </c>
      <c r="AX691">
        <v>4.7699999999999999E-3</v>
      </c>
      <c r="AY691">
        <v>-1.9499999999999999E-3</v>
      </c>
      <c r="AZ691">
        <v>4.759E-2</v>
      </c>
      <c r="BA691">
        <v>1</v>
      </c>
      <c r="BB691" t="s">
        <v>70</v>
      </c>
      <c r="BC691">
        <v>-0.85399999999999998</v>
      </c>
      <c r="BD691">
        <v>-0.85399999999999998</v>
      </c>
      <c r="BE691" t="s">
        <v>71</v>
      </c>
    </row>
    <row r="692" spans="1:57">
      <c r="A692">
        <v>3033</v>
      </c>
      <c r="B692" t="s">
        <v>3042</v>
      </c>
      <c r="D692" t="s">
        <v>66</v>
      </c>
      <c r="E692" t="s">
        <v>3043</v>
      </c>
      <c r="F692" t="s">
        <v>3044</v>
      </c>
      <c r="G692">
        <v>432</v>
      </c>
      <c r="H692" t="s">
        <v>85</v>
      </c>
      <c r="I692">
        <v>4</v>
      </c>
      <c r="J692" t="str">
        <f>HYPERLINK("Gene3033-zp_tree_all.dnd", "Gene3033-tree")</f>
        <v>Gene3033-tree</v>
      </c>
      <c r="K692">
        <v>2</v>
      </c>
      <c r="L692">
        <v>2</v>
      </c>
      <c r="M692">
        <v>2</v>
      </c>
      <c r="N692">
        <v>2</v>
      </c>
      <c r="O692">
        <v>0.5</v>
      </c>
      <c r="P692" t="s">
        <v>124</v>
      </c>
      <c r="Q692" t="s">
        <v>124</v>
      </c>
      <c r="R692" t="s">
        <v>66</v>
      </c>
      <c r="S692" t="s">
        <v>66</v>
      </c>
      <c r="T692">
        <v>0</v>
      </c>
      <c r="U692">
        <v>0</v>
      </c>
      <c r="V692">
        <v>6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5</v>
      </c>
      <c r="AG692">
        <v>0</v>
      </c>
      <c r="AH692">
        <v>4</v>
      </c>
      <c r="AI692">
        <v>1</v>
      </c>
      <c r="AJ692">
        <v>61</v>
      </c>
      <c r="AK692">
        <v>5</v>
      </c>
      <c r="AL692">
        <v>7</v>
      </c>
      <c r="AM692">
        <v>1</v>
      </c>
      <c r="AN692" t="s">
        <v>3045</v>
      </c>
      <c r="AO692" t="s">
        <v>3046</v>
      </c>
      <c r="AP692">
        <v>0.51900000000000002</v>
      </c>
      <c r="AQ692" t="s">
        <v>69</v>
      </c>
      <c r="AR692">
        <v>68</v>
      </c>
      <c r="AS692">
        <v>6</v>
      </c>
      <c r="AT692">
        <v>2.9190000000000001E-2</v>
      </c>
      <c r="AU692">
        <v>-7.5900000000000004E-3</v>
      </c>
      <c r="AV692">
        <v>0.13647000000000001</v>
      </c>
      <c r="AW692">
        <v>-3.7560000000000003E-2</v>
      </c>
      <c r="AX692">
        <v>3.15E-3</v>
      </c>
      <c r="AY692">
        <v>-7.9000000000000001E-4</v>
      </c>
      <c r="AZ692">
        <v>2.3099999999999999E-2</v>
      </c>
      <c r="BA692">
        <v>1</v>
      </c>
      <c r="BB692" t="s">
        <v>70</v>
      </c>
      <c r="BC692">
        <v>-0.38300000000000001</v>
      </c>
      <c r="BD692">
        <v>-0.64900000000000002</v>
      </c>
      <c r="BE692" t="s">
        <v>71</v>
      </c>
    </row>
    <row r="693" spans="1:57">
      <c r="A693">
        <v>3036</v>
      </c>
      <c r="B693" t="s">
        <v>3047</v>
      </c>
      <c r="D693" t="s">
        <v>66</v>
      </c>
      <c r="E693" t="s">
        <v>3048</v>
      </c>
      <c r="F693" t="s">
        <v>74</v>
      </c>
      <c r="G693">
        <v>269</v>
      </c>
      <c r="H693" t="s">
        <v>63</v>
      </c>
      <c r="I693">
        <v>5</v>
      </c>
      <c r="J693" t="str">
        <f>HYPERLINK("Gene3036-zp_tree_all.dnd", "Gene3036-tree")</f>
        <v>Gene3036-tree</v>
      </c>
      <c r="K693">
        <v>5</v>
      </c>
      <c r="L693">
        <v>0</v>
      </c>
      <c r="M693">
        <v>5</v>
      </c>
      <c r="N693">
        <v>0</v>
      </c>
      <c r="O693">
        <v>0</v>
      </c>
      <c r="P693" t="s">
        <v>96</v>
      </c>
      <c r="Q693" t="s">
        <v>66</v>
      </c>
      <c r="R693" t="s">
        <v>66</v>
      </c>
      <c r="S693" t="s">
        <v>66</v>
      </c>
      <c r="T693">
        <v>0</v>
      </c>
      <c r="U693">
        <v>0</v>
      </c>
      <c r="V693">
        <v>3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5</v>
      </c>
      <c r="AI693">
        <v>2</v>
      </c>
      <c r="AJ693">
        <v>20</v>
      </c>
      <c r="AK693">
        <v>0</v>
      </c>
      <c r="AL693">
        <v>25</v>
      </c>
      <c r="AM693">
        <v>3</v>
      </c>
      <c r="AN693" t="s">
        <v>68</v>
      </c>
      <c r="AO693" t="s">
        <v>3049</v>
      </c>
      <c r="AP693">
        <v>0.82</v>
      </c>
      <c r="AQ693" t="s">
        <v>69</v>
      </c>
      <c r="AR693">
        <v>45</v>
      </c>
      <c r="AS693">
        <v>3</v>
      </c>
      <c r="AT693">
        <v>3.0110000000000001E-2</v>
      </c>
      <c r="AU693">
        <v>-5.6800000000000002E-3</v>
      </c>
      <c r="AV693">
        <v>0.13669000000000001</v>
      </c>
      <c r="AW693">
        <v>-2.598E-2</v>
      </c>
      <c r="AX693">
        <v>2.9099999999999998E-3</v>
      </c>
      <c r="AY693">
        <v>-6.8999999999999997E-4</v>
      </c>
      <c r="AZ693">
        <v>2.1260000000000001E-2</v>
      </c>
      <c r="BA693">
        <v>1</v>
      </c>
      <c r="BB693" t="s">
        <v>70</v>
      </c>
      <c r="BC693">
        <v>0.94199999999999995</v>
      </c>
      <c r="BD693">
        <v>0.628</v>
      </c>
      <c r="BE693" t="s">
        <v>71</v>
      </c>
    </row>
    <row r="694" spans="1:57">
      <c r="A694">
        <v>3037</v>
      </c>
      <c r="B694" t="s">
        <v>3050</v>
      </c>
      <c r="D694" t="s">
        <v>66</v>
      </c>
      <c r="E694" t="s">
        <v>3051</v>
      </c>
      <c r="F694" t="s">
        <v>716</v>
      </c>
      <c r="G694">
        <v>107</v>
      </c>
      <c r="H694" t="s">
        <v>106</v>
      </c>
      <c r="I694">
        <v>4</v>
      </c>
      <c r="J694" t="str">
        <f>HYPERLINK("Gene3037-zp_tree_all.dnd", "Gene3037-tree")</f>
        <v>Gene3037-tree</v>
      </c>
      <c r="K694">
        <v>2</v>
      </c>
      <c r="L694">
        <v>2</v>
      </c>
      <c r="M694">
        <v>2</v>
      </c>
      <c r="N694">
        <v>2</v>
      </c>
      <c r="O694">
        <v>0.5</v>
      </c>
      <c r="P694" t="s">
        <v>124</v>
      </c>
      <c r="Q694" t="s">
        <v>124</v>
      </c>
      <c r="R694" t="s">
        <v>66</v>
      </c>
      <c r="S694" t="s">
        <v>66</v>
      </c>
      <c r="T694">
        <v>0</v>
      </c>
      <c r="U694">
        <v>0</v>
      </c>
      <c r="V694">
        <v>3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3</v>
      </c>
      <c r="AG694">
        <v>0</v>
      </c>
      <c r="AH694">
        <v>4</v>
      </c>
      <c r="AI694">
        <v>0</v>
      </c>
      <c r="AJ694">
        <v>14</v>
      </c>
      <c r="AK694">
        <v>3</v>
      </c>
      <c r="AL694">
        <v>0</v>
      </c>
      <c r="AM694">
        <v>0</v>
      </c>
      <c r="AN694" t="s">
        <v>3052</v>
      </c>
      <c r="AO694" t="s">
        <v>68</v>
      </c>
      <c r="AP694">
        <v>0.80500000000000005</v>
      </c>
      <c r="AQ694" t="s">
        <v>69</v>
      </c>
      <c r="AR694">
        <v>14</v>
      </c>
      <c r="AS694">
        <v>3</v>
      </c>
      <c r="AT694">
        <v>2.648E-2</v>
      </c>
      <c r="AU694">
        <v>-6.6800000000000002E-3</v>
      </c>
      <c r="AV694">
        <v>0.12037</v>
      </c>
      <c r="AW694">
        <v>-3.209E-2</v>
      </c>
      <c r="AX694">
        <v>5.8900000000000003E-3</v>
      </c>
      <c r="AY694">
        <v>-1.5399999999999999E-3</v>
      </c>
      <c r="AZ694">
        <v>4.895E-2</v>
      </c>
      <c r="BA694">
        <v>1</v>
      </c>
      <c r="BB694" t="s">
        <v>70</v>
      </c>
      <c r="BC694">
        <v>-0.85099999999999998</v>
      </c>
      <c r="BD694">
        <v>-0.85099999999999998</v>
      </c>
      <c r="BE694" t="s">
        <v>71</v>
      </c>
    </row>
    <row r="695" spans="1:57">
      <c r="A695">
        <v>3043</v>
      </c>
      <c r="B695" t="s">
        <v>3059</v>
      </c>
      <c r="D695" t="s">
        <v>66</v>
      </c>
      <c r="E695" t="s">
        <v>3060</v>
      </c>
      <c r="F695" t="s">
        <v>3061</v>
      </c>
      <c r="G695">
        <v>213</v>
      </c>
      <c r="H695" t="s">
        <v>85</v>
      </c>
      <c r="I695">
        <v>4</v>
      </c>
      <c r="J695" t="str">
        <f>HYPERLINK("Gene3043-zp_tree_all.dnd", "Gene3043-tree")</f>
        <v>Gene3043-tree</v>
      </c>
      <c r="K695">
        <v>2</v>
      </c>
      <c r="L695">
        <v>2</v>
      </c>
      <c r="M695">
        <v>2</v>
      </c>
      <c r="N695">
        <v>2</v>
      </c>
      <c r="O695">
        <v>0.5</v>
      </c>
      <c r="P695" t="s">
        <v>124</v>
      </c>
      <c r="Q695" t="s">
        <v>124</v>
      </c>
      <c r="R695" t="s">
        <v>66</v>
      </c>
      <c r="S695" t="s">
        <v>66</v>
      </c>
      <c r="T695">
        <v>0</v>
      </c>
      <c r="U695">
        <v>0</v>
      </c>
      <c r="V695">
        <v>3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3</v>
      </c>
      <c r="AG695">
        <v>0</v>
      </c>
      <c r="AH695">
        <v>3</v>
      </c>
      <c r="AI695">
        <v>1</v>
      </c>
      <c r="AJ695">
        <v>26</v>
      </c>
      <c r="AK695">
        <v>2</v>
      </c>
      <c r="AL695">
        <v>1</v>
      </c>
      <c r="AM695">
        <v>1</v>
      </c>
      <c r="AN695" t="s">
        <v>3062</v>
      </c>
      <c r="AO695" t="s">
        <v>3063</v>
      </c>
      <c r="AP695">
        <v>11.147</v>
      </c>
      <c r="AQ695" t="s">
        <v>69</v>
      </c>
      <c r="AR695">
        <v>27</v>
      </c>
      <c r="AS695">
        <v>3</v>
      </c>
      <c r="AT695">
        <v>2.4E-2</v>
      </c>
      <c r="AU695">
        <v>-7.7099999999999998E-3</v>
      </c>
      <c r="AV695">
        <v>0.11199000000000001</v>
      </c>
      <c r="AW695">
        <v>-3.9820000000000001E-2</v>
      </c>
      <c r="AX695">
        <v>3.3400000000000001E-3</v>
      </c>
      <c r="AY695">
        <v>-6.0999999999999997E-4</v>
      </c>
      <c r="AZ695">
        <v>2.9819999999999999E-2</v>
      </c>
      <c r="BA695">
        <v>1</v>
      </c>
      <c r="BB695" t="s">
        <v>70</v>
      </c>
      <c r="BC695">
        <v>-0.65100000000000002</v>
      </c>
      <c r="BD695">
        <v>-0.65100000000000002</v>
      </c>
      <c r="BE695" t="s">
        <v>71</v>
      </c>
    </row>
    <row r="696" spans="1:57">
      <c r="A696">
        <v>3045</v>
      </c>
      <c r="B696" t="s">
        <v>3067</v>
      </c>
      <c r="D696" t="s">
        <v>66</v>
      </c>
      <c r="E696" t="s">
        <v>3068</v>
      </c>
      <c r="F696" t="s">
        <v>3069</v>
      </c>
      <c r="G696">
        <v>204</v>
      </c>
      <c r="H696" t="s">
        <v>63</v>
      </c>
      <c r="I696">
        <v>5</v>
      </c>
      <c r="J696" t="str">
        <f>HYPERLINK("Gene3045-zp_tree_all.dnd", "Gene3045-tree")</f>
        <v>Gene3045-tree</v>
      </c>
      <c r="K696">
        <v>4</v>
      </c>
      <c r="L696">
        <v>1</v>
      </c>
      <c r="M696">
        <v>3</v>
      </c>
      <c r="N696">
        <v>1</v>
      </c>
      <c r="O696">
        <v>0.25</v>
      </c>
      <c r="P696" t="s">
        <v>112</v>
      </c>
      <c r="Q696" t="s">
        <v>65</v>
      </c>
      <c r="R696" t="s">
        <v>66</v>
      </c>
      <c r="S696" t="s">
        <v>66</v>
      </c>
      <c r="T696">
        <v>0</v>
      </c>
      <c r="U696">
        <v>0</v>
      </c>
      <c r="V696">
        <v>1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</v>
      </c>
      <c r="AG696">
        <v>0</v>
      </c>
      <c r="AH696">
        <v>3</v>
      </c>
      <c r="AI696">
        <v>1</v>
      </c>
      <c r="AJ696">
        <v>13</v>
      </c>
      <c r="AK696">
        <v>1</v>
      </c>
      <c r="AL696">
        <v>15</v>
      </c>
      <c r="AM696">
        <v>0</v>
      </c>
      <c r="AN696" t="s">
        <v>3070</v>
      </c>
      <c r="AO696" t="s">
        <v>68</v>
      </c>
      <c r="AP696">
        <v>0.84499999999999997</v>
      </c>
      <c r="AQ696" t="s">
        <v>69</v>
      </c>
      <c r="AR696">
        <v>28</v>
      </c>
      <c r="AS696">
        <v>1</v>
      </c>
      <c r="AT696">
        <v>2.682E-2</v>
      </c>
      <c r="AU696">
        <v>-4.62E-3</v>
      </c>
      <c r="AV696">
        <v>0.13102</v>
      </c>
      <c r="AW696">
        <v>-2.3939999999999999E-2</v>
      </c>
      <c r="AX696">
        <v>1.75E-3</v>
      </c>
      <c r="AY696">
        <v>-7.6999999999999996E-4</v>
      </c>
      <c r="AZ696">
        <v>1.3339999999999999E-2</v>
      </c>
      <c r="BA696">
        <v>1</v>
      </c>
      <c r="BB696" t="s">
        <v>70</v>
      </c>
      <c r="BC696">
        <v>0.71399999999999997</v>
      </c>
      <c r="BD696">
        <v>0.48299999999999998</v>
      </c>
      <c r="BE696" t="s">
        <v>71</v>
      </c>
    </row>
    <row r="697" spans="1:57">
      <c r="A697">
        <v>3060</v>
      </c>
      <c r="B697" t="s">
        <v>3073</v>
      </c>
      <c r="D697" t="s">
        <v>66</v>
      </c>
      <c r="E697" t="s">
        <v>3074</v>
      </c>
      <c r="F697" t="s">
        <v>3075</v>
      </c>
      <c r="G697">
        <v>60</v>
      </c>
      <c r="H697" t="s">
        <v>106</v>
      </c>
      <c r="I697">
        <v>4</v>
      </c>
      <c r="J697" t="str">
        <f>HYPERLINK("Gene3060-zp_tree_all.dnd", "Gene3060-tree")</f>
        <v>Gene3060-tree</v>
      </c>
      <c r="K697">
        <v>4</v>
      </c>
      <c r="L697">
        <v>0</v>
      </c>
      <c r="M697">
        <v>4</v>
      </c>
      <c r="N697">
        <v>0</v>
      </c>
      <c r="O697">
        <v>0</v>
      </c>
      <c r="P697" t="s">
        <v>64</v>
      </c>
      <c r="Q697" t="s">
        <v>66</v>
      </c>
      <c r="R697" t="s">
        <v>66</v>
      </c>
      <c r="S697" t="s">
        <v>66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3</v>
      </c>
      <c r="AI697">
        <v>0</v>
      </c>
      <c r="AJ697">
        <v>9</v>
      </c>
      <c r="AK697">
        <v>0</v>
      </c>
      <c r="AL697">
        <v>0</v>
      </c>
      <c r="AM697">
        <v>0</v>
      </c>
      <c r="AN697" t="s">
        <v>68</v>
      </c>
      <c r="AO697" t="s">
        <v>68</v>
      </c>
      <c r="AP697">
        <v>0</v>
      </c>
      <c r="AQ697" t="s">
        <v>69</v>
      </c>
      <c r="AR697">
        <v>9</v>
      </c>
      <c r="AS697">
        <v>0</v>
      </c>
      <c r="AT697">
        <v>2.5000000000000001E-2</v>
      </c>
      <c r="AU697">
        <v>-7.26E-3</v>
      </c>
      <c r="AV697">
        <v>0.13098000000000001</v>
      </c>
      <c r="AW697">
        <v>-3.9649999999999998E-2</v>
      </c>
      <c r="AX697">
        <v>0</v>
      </c>
      <c r="AY697">
        <v>0</v>
      </c>
      <c r="AZ697">
        <v>0</v>
      </c>
      <c r="BA697">
        <v>1</v>
      </c>
      <c r="BB697" t="s">
        <v>70</v>
      </c>
      <c r="BC697">
        <v>-0.82899999999999996</v>
      </c>
      <c r="BD697">
        <v>-0.82899999999999996</v>
      </c>
      <c r="BE697" t="s">
        <v>71</v>
      </c>
    </row>
    <row r="698" spans="1:57">
      <c r="A698">
        <v>3065</v>
      </c>
      <c r="B698" t="s">
        <v>3076</v>
      </c>
      <c r="D698" t="s">
        <v>66</v>
      </c>
      <c r="E698" t="s">
        <v>3077</v>
      </c>
      <c r="F698" t="s">
        <v>3078</v>
      </c>
      <c r="G698">
        <v>321</v>
      </c>
      <c r="H698" t="s">
        <v>63</v>
      </c>
      <c r="I698">
        <v>5</v>
      </c>
      <c r="J698" t="str">
        <f>HYPERLINK("Gene3065-zp_tree_all.dnd", "Gene3065-tree")</f>
        <v>Gene3065-tree</v>
      </c>
      <c r="K698">
        <v>1</v>
      </c>
      <c r="L698">
        <v>4</v>
      </c>
      <c r="M698">
        <v>1</v>
      </c>
      <c r="N698">
        <v>4</v>
      </c>
      <c r="O698">
        <v>0.8</v>
      </c>
      <c r="P698" t="s">
        <v>65</v>
      </c>
      <c r="Q698" t="s">
        <v>64</v>
      </c>
      <c r="R698" t="s">
        <v>66</v>
      </c>
      <c r="S698" t="s">
        <v>66</v>
      </c>
      <c r="T698">
        <v>1</v>
      </c>
      <c r="U698">
        <v>2</v>
      </c>
      <c r="V698">
        <v>6</v>
      </c>
      <c r="W698">
        <v>0.25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2</v>
      </c>
      <c r="AE698">
        <v>2</v>
      </c>
      <c r="AF698">
        <v>6</v>
      </c>
      <c r="AG698">
        <v>0.25</v>
      </c>
      <c r="AH698">
        <v>5</v>
      </c>
      <c r="AI698">
        <v>2</v>
      </c>
      <c r="AJ698">
        <v>34</v>
      </c>
      <c r="AK698">
        <v>5</v>
      </c>
      <c r="AL698">
        <v>20</v>
      </c>
      <c r="AM698">
        <v>3</v>
      </c>
      <c r="AN698" t="s">
        <v>3079</v>
      </c>
      <c r="AO698" t="s">
        <v>3080</v>
      </c>
      <c r="AP698">
        <v>1E-3</v>
      </c>
      <c r="AQ698" t="s">
        <v>69</v>
      </c>
      <c r="AR698">
        <v>54</v>
      </c>
      <c r="AS698">
        <v>8</v>
      </c>
      <c r="AT698">
        <v>2.9180000000000001E-2</v>
      </c>
      <c r="AU698">
        <v>-3.4299999999999999E-3</v>
      </c>
      <c r="AV698">
        <v>0.11521000000000001</v>
      </c>
      <c r="AW698">
        <v>-1.4659999999999999E-2</v>
      </c>
      <c r="AX698">
        <v>5.0800000000000003E-3</v>
      </c>
      <c r="AY698">
        <v>-6.2E-4</v>
      </c>
      <c r="AZ698">
        <v>4.4049999999999999E-2</v>
      </c>
      <c r="BA698">
        <v>1</v>
      </c>
      <c r="BB698" t="s">
        <v>70</v>
      </c>
      <c r="BC698">
        <v>0.34300000000000003</v>
      </c>
      <c r="BD698">
        <v>-7.9000000000000001E-2</v>
      </c>
      <c r="BE698" t="s">
        <v>71</v>
      </c>
    </row>
    <row r="699" spans="1:57">
      <c r="A699">
        <v>3068</v>
      </c>
      <c r="B699" t="s">
        <v>3081</v>
      </c>
      <c r="D699" t="s">
        <v>66</v>
      </c>
      <c r="E699" t="s">
        <v>3082</v>
      </c>
      <c r="F699" t="s">
        <v>657</v>
      </c>
      <c r="G699">
        <v>286</v>
      </c>
      <c r="H699" t="s">
        <v>63</v>
      </c>
      <c r="I699">
        <v>5</v>
      </c>
      <c r="J699" t="str">
        <f>HYPERLINK("Gene3068-zp_tree_all.dnd", "Gene3068-tree")</f>
        <v>Gene3068-tree</v>
      </c>
      <c r="K699">
        <v>4</v>
      </c>
      <c r="L699">
        <v>1</v>
      </c>
      <c r="M699">
        <v>4</v>
      </c>
      <c r="N699">
        <v>1</v>
      </c>
      <c r="O699">
        <v>0.2</v>
      </c>
      <c r="P699" t="s">
        <v>64</v>
      </c>
      <c r="Q699" t="s">
        <v>65</v>
      </c>
      <c r="R699" t="s">
        <v>66</v>
      </c>
      <c r="S699" t="s">
        <v>66</v>
      </c>
      <c r="T699">
        <v>0</v>
      </c>
      <c r="U699">
        <v>0</v>
      </c>
      <c r="V699">
        <v>2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2</v>
      </c>
      <c r="AG699">
        <v>0</v>
      </c>
      <c r="AH699">
        <v>5</v>
      </c>
      <c r="AI699">
        <v>2</v>
      </c>
      <c r="AJ699">
        <v>26</v>
      </c>
      <c r="AK699">
        <v>2</v>
      </c>
      <c r="AL699">
        <v>23</v>
      </c>
      <c r="AM699">
        <v>0</v>
      </c>
      <c r="AN699" t="s">
        <v>3083</v>
      </c>
      <c r="AO699" t="s">
        <v>68</v>
      </c>
      <c r="AP699">
        <v>0.504</v>
      </c>
      <c r="AQ699" t="s">
        <v>69</v>
      </c>
      <c r="AR699">
        <v>49</v>
      </c>
      <c r="AS699">
        <v>2</v>
      </c>
      <c r="AT699">
        <v>2.716E-2</v>
      </c>
      <c r="AU699">
        <v>-4.1000000000000003E-3</v>
      </c>
      <c r="AV699">
        <v>0.11659</v>
      </c>
      <c r="AW699">
        <v>-1.8530000000000001E-2</v>
      </c>
      <c r="AX699">
        <v>1.24E-3</v>
      </c>
      <c r="AY699">
        <v>-4.8000000000000001E-4</v>
      </c>
      <c r="AZ699">
        <v>1.065E-2</v>
      </c>
      <c r="BA699">
        <v>1</v>
      </c>
      <c r="BB699" t="s">
        <v>70</v>
      </c>
      <c r="BC699">
        <v>0.59299999999999997</v>
      </c>
      <c r="BD699">
        <v>-7.0000000000000007E-2</v>
      </c>
      <c r="BE699" t="s">
        <v>71</v>
      </c>
    </row>
    <row r="700" spans="1:57">
      <c r="A700">
        <v>3082</v>
      </c>
      <c r="B700" t="s">
        <v>3084</v>
      </c>
      <c r="D700" t="s">
        <v>66</v>
      </c>
      <c r="E700" t="s">
        <v>3085</v>
      </c>
      <c r="F700" t="s">
        <v>74</v>
      </c>
      <c r="G700">
        <v>103</v>
      </c>
      <c r="H700" t="s">
        <v>85</v>
      </c>
      <c r="I700">
        <v>4</v>
      </c>
      <c r="J700" t="str">
        <f>HYPERLINK("Gene3082-zp_tree_all.dnd", "Gene3082-tree")</f>
        <v>Gene3082-tree</v>
      </c>
      <c r="K700">
        <v>2</v>
      </c>
      <c r="L700">
        <v>2</v>
      </c>
      <c r="M700">
        <v>2</v>
      </c>
      <c r="N700">
        <v>2</v>
      </c>
      <c r="O700">
        <v>0.5</v>
      </c>
      <c r="P700" t="s">
        <v>124</v>
      </c>
      <c r="Q700" t="s">
        <v>124</v>
      </c>
      <c r="R700" t="s">
        <v>66</v>
      </c>
      <c r="S700" t="s">
        <v>66</v>
      </c>
      <c r="T700">
        <v>0</v>
      </c>
      <c r="U700">
        <v>0</v>
      </c>
      <c r="V700">
        <v>5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5</v>
      </c>
      <c r="AG700">
        <v>0</v>
      </c>
      <c r="AH700">
        <v>3</v>
      </c>
      <c r="AI700">
        <v>1</v>
      </c>
      <c r="AJ700">
        <v>11</v>
      </c>
      <c r="AK700">
        <v>5</v>
      </c>
      <c r="AL700">
        <v>1</v>
      </c>
      <c r="AM700">
        <v>0</v>
      </c>
      <c r="AN700" t="s">
        <v>3086</v>
      </c>
      <c r="AO700" t="s">
        <v>68</v>
      </c>
      <c r="AP700">
        <v>0.66800000000000004</v>
      </c>
      <c r="AQ700" t="s">
        <v>69</v>
      </c>
      <c r="AR700">
        <v>12</v>
      </c>
      <c r="AS700">
        <v>5</v>
      </c>
      <c r="AT700">
        <v>2.8049999999999999E-2</v>
      </c>
      <c r="AU700">
        <v>-8.8500000000000002E-3</v>
      </c>
      <c r="AV700">
        <v>0.11561</v>
      </c>
      <c r="AW700">
        <v>-3.8449999999999998E-2</v>
      </c>
      <c r="AX700">
        <v>1.0160000000000001E-2</v>
      </c>
      <c r="AY700">
        <v>-3.15E-3</v>
      </c>
      <c r="AZ700">
        <v>8.7929999999999994E-2</v>
      </c>
      <c r="BA700">
        <v>1</v>
      </c>
      <c r="BB700" t="s">
        <v>70</v>
      </c>
      <c r="BC700">
        <v>-0.66700000000000004</v>
      </c>
      <c r="BD700">
        <v>-0.66700000000000004</v>
      </c>
      <c r="BE700" t="s">
        <v>71</v>
      </c>
    </row>
    <row r="701" spans="1:57">
      <c r="A701">
        <v>3097</v>
      </c>
      <c r="B701" t="s">
        <v>3094</v>
      </c>
      <c r="D701" t="s">
        <v>66</v>
      </c>
      <c r="E701" t="s">
        <v>3095</v>
      </c>
      <c r="F701" t="s">
        <v>546</v>
      </c>
      <c r="G701">
        <v>130</v>
      </c>
      <c r="H701" t="s">
        <v>63</v>
      </c>
      <c r="I701">
        <v>5</v>
      </c>
      <c r="J701" t="str">
        <f>HYPERLINK("Gene3097-zp_tree_all.dnd", "Gene3097-tree")</f>
        <v>Gene3097-tree</v>
      </c>
      <c r="K701">
        <v>2</v>
      </c>
      <c r="L701">
        <v>3</v>
      </c>
      <c r="M701">
        <v>2</v>
      </c>
      <c r="N701">
        <v>2</v>
      </c>
      <c r="O701">
        <v>0.5</v>
      </c>
      <c r="P701" t="s">
        <v>124</v>
      </c>
      <c r="Q701" t="s">
        <v>185</v>
      </c>
      <c r="R701">
        <v>0.30599999999999999</v>
      </c>
      <c r="S701" t="s">
        <v>69</v>
      </c>
      <c r="T701">
        <v>1</v>
      </c>
      <c r="U701">
        <v>2</v>
      </c>
      <c r="V701">
        <v>3</v>
      </c>
      <c r="W701">
        <v>0.4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2</v>
      </c>
      <c r="AE701">
        <v>2</v>
      </c>
      <c r="AF701">
        <v>3</v>
      </c>
      <c r="AG701">
        <v>0.4</v>
      </c>
      <c r="AH701">
        <v>3</v>
      </c>
      <c r="AI701">
        <v>1</v>
      </c>
      <c r="AJ701">
        <v>9</v>
      </c>
      <c r="AK701">
        <v>4</v>
      </c>
      <c r="AL701">
        <v>3</v>
      </c>
      <c r="AM701">
        <v>2</v>
      </c>
      <c r="AN701" t="s">
        <v>3096</v>
      </c>
      <c r="AO701" t="s">
        <v>3097</v>
      </c>
      <c r="AP701">
        <v>1.508</v>
      </c>
      <c r="AQ701" t="s">
        <v>69</v>
      </c>
      <c r="AR701">
        <v>12</v>
      </c>
      <c r="AS701">
        <v>6</v>
      </c>
      <c r="AT701">
        <v>2.521E-2</v>
      </c>
      <c r="AU701">
        <v>-3.3899999999999998E-3</v>
      </c>
      <c r="AV701">
        <v>8.1059999999999993E-2</v>
      </c>
      <c r="AW701">
        <v>-1.197E-2</v>
      </c>
      <c r="AX701">
        <v>1.103E-2</v>
      </c>
      <c r="AY701">
        <v>-2.0100000000000001E-3</v>
      </c>
      <c r="AZ701">
        <v>0.1361</v>
      </c>
      <c r="BA701">
        <v>1</v>
      </c>
      <c r="BB701" t="s">
        <v>70</v>
      </c>
      <c r="BC701">
        <v>0.307</v>
      </c>
      <c r="BD701">
        <v>0.307</v>
      </c>
      <c r="BE701" t="s">
        <v>71</v>
      </c>
    </row>
    <row r="702" spans="1:57">
      <c r="A702">
        <v>3098</v>
      </c>
      <c r="B702" t="s">
        <v>3098</v>
      </c>
      <c r="D702" t="s">
        <v>66</v>
      </c>
      <c r="E702" t="s">
        <v>3099</v>
      </c>
      <c r="F702" t="s">
        <v>74</v>
      </c>
      <c r="G702">
        <v>90</v>
      </c>
      <c r="H702" t="s">
        <v>85</v>
      </c>
      <c r="I702">
        <v>4</v>
      </c>
      <c r="J702" t="str">
        <f>HYPERLINK("Gene3098-zp_tree_all.dnd", "Gene3098-tree")</f>
        <v>Gene3098-tree</v>
      </c>
      <c r="K702">
        <v>3</v>
      </c>
      <c r="L702">
        <v>1</v>
      </c>
      <c r="M702">
        <v>3</v>
      </c>
      <c r="N702">
        <v>1</v>
      </c>
      <c r="O702">
        <v>0.25</v>
      </c>
      <c r="P702" t="s">
        <v>86</v>
      </c>
      <c r="Q702" t="s">
        <v>65</v>
      </c>
      <c r="R702" t="s">
        <v>66</v>
      </c>
      <c r="S702" t="s">
        <v>66</v>
      </c>
      <c r="T702">
        <v>0</v>
      </c>
      <c r="U702">
        <v>0</v>
      </c>
      <c r="V702">
        <v>4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4</v>
      </c>
      <c r="AG702">
        <v>0</v>
      </c>
      <c r="AH702">
        <v>3</v>
      </c>
      <c r="AI702">
        <v>1</v>
      </c>
      <c r="AJ702">
        <v>8</v>
      </c>
      <c r="AK702">
        <v>4</v>
      </c>
      <c r="AL702">
        <v>2</v>
      </c>
      <c r="AM702">
        <v>0</v>
      </c>
      <c r="AN702" t="s">
        <v>3100</v>
      </c>
      <c r="AO702" t="s">
        <v>68</v>
      </c>
      <c r="AP702">
        <v>0.61299999999999999</v>
      </c>
      <c r="AQ702" t="s">
        <v>69</v>
      </c>
      <c r="AR702">
        <v>10</v>
      </c>
      <c r="AS702">
        <v>4</v>
      </c>
      <c r="AT702">
        <v>2.716E-2</v>
      </c>
      <c r="AU702">
        <v>-7.2300000000000003E-3</v>
      </c>
      <c r="AV702">
        <v>0.10621999999999999</v>
      </c>
      <c r="AW702">
        <v>-2.4369999999999999E-2</v>
      </c>
      <c r="AX702">
        <v>9.4199999999999996E-3</v>
      </c>
      <c r="AY702">
        <v>-3.8500000000000001E-3</v>
      </c>
      <c r="AZ702">
        <v>8.8679999999999995E-2</v>
      </c>
      <c r="BA702">
        <v>1</v>
      </c>
      <c r="BB702" t="s">
        <v>70</v>
      </c>
      <c r="BC702">
        <v>-0.40300000000000002</v>
      </c>
      <c r="BD702">
        <v>-0.40300000000000002</v>
      </c>
      <c r="BE702" t="s">
        <v>71</v>
      </c>
    </row>
    <row r="703" spans="1:57">
      <c r="A703">
        <v>3105</v>
      </c>
      <c r="B703" t="s">
        <v>3105</v>
      </c>
      <c r="D703" t="s">
        <v>66</v>
      </c>
      <c r="E703" t="s">
        <v>3106</v>
      </c>
      <c r="F703" t="s">
        <v>3107</v>
      </c>
      <c r="G703">
        <v>632</v>
      </c>
      <c r="H703" t="s">
        <v>63</v>
      </c>
      <c r="I703">
        <v>5</v>
      </c>
      <c r="J703" t="str">
        <f>HYPERLINK("Gene3105-zp_tree_all.dnd", "Gene3105-tree")</f>
        <v>Gene3105-tree</v>
      </c>
      <c r="K703">
        <v>2</v>
      </c>
      <c r="L703">
        <v>3</v>
      </c>
      <c r="M703">
        <v>2</v>
      </c>
      <c r="N703">
        <v>3</v>
      </c>
      <c r="O703">
        <v>0.6</v>
      </c>
      <c r="P703" t="s">
        <v>124</v>
      </c>
      <c r="Q703" t="s">
        <v>86</v>
      </c>
      <c r="R703" t="s">
        <v>66</v>
      </c>
      <c r="S703" t="s">
        <v>66</v>
      </c>
      <c r="T703">
        <v>1</v>
      </c>
      <c r="U703">
        <v>2</v>
      </c>
      <c r="V703">
        <v>4</v>
      </c>
      <c r="W703">
        <v>0.33333000000000002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2</v>
      </c>
      <c r="AE703">
        <v>2</v>
      </c>
      <c r="AF703">
        <v>4</v>
      </c>
      <c r="AG703">
        <v>0.33333000000000002</v>
      </c>
      <c r="AH703">
        <v>5</v>
      </c>
      <c r="AI703">
        <v>2</v>
      </c>
      <c r="AJ703">
        <v>39</v>
      </c>
      <c r="AK703">
        <v>5</v>
      </c>
      <c r="AL703">
        <v>50</v>
      </c>
      <c r="AM703">
        <v>1</v>
      </c>
      <c r="AN703" t="s">
        <v>3108</v>
      </c>
      <c r="AO703" t="s">
        <v>3109</v>
      </c>
      <c r="AP703">
        <v>1.5529999999999999</v>
      </c>
      <c r="AQ703" t="s">
        <v>69</v>
      </c>
      <c r="AR703">
        <v>89</v>
      </c>
      <c r="AS703">
        <v>6</v>
      </c>
      <c r="AT703">
        <v>2.5159999999999998E-2</v>
      </c>
      <c r="AU703">
        <v>-3.7499999999999999E-3</v>
      </c>
      <c r="AV703">
        <v>0.12096</v>
      </c>
      <c r="AW703">
        <v>-1.9120000000000002E-2</v>
      </c>
      <c r="AX703">
        <v>1.5499999999999999E-3</v>
      </c>
      <c r="AY703">
        <v>-2.7E-4</v>
      </c>
      <c r="AZ703">
        <v>1.285E-2</v>
      </c>
      <c r="BA703">
        <v>1</v>
      </c>
      <c r="BB703" t="s">
        <v>70</v>
      </c>
      <c r="BC703">
        <v>0.52100000000000002</v>
      </c>
      <c r="BD703">
        <v>0.36799999999999999</v>
      </c>
      <c r="BE703" t="s">
        <v>71</v>
      </c>
    </row>
    <row r="704" spans="1:57">
      <c r="A704">
        <v>3106</v>
      </c>
      <c r="B704" t="s">
        <v>3110</v>
      </c>
      <c r="D704" t="s">
        <v>66</v>
      </c>
      <c r="E704" t="s">
        <v>3111</v>
      </c>
      <c r="F704" t="s">
        <v>3112</v>
      </c>
      <c r="G704">
        <v>400</v>
      </c>
      <c r="H704" t="s">
        <v>63</v>
      </c>
      <c r="I704">
        <v>5</v>
      </c>
      <c r="J704" t="str">
        <f>HYPERLINK("Gene3106-zp_tree_all.dnd", "Gene3106-tree")</f>
        <v>Gene3106-tree</v>
      </c>
      <c r="K704">
        <v>4</v>
      </c>
      <c r="L704">
        <v>1</v>
      </c>
      <c r="M704">
        <v>4</v>
      </c>
      <c r="N704">
        <v>1</v>
      </c>
      <c r="O704">
        <v>0.2</v>
      </c>
      <c r="P704" t="s">
        <v>64</v>
      </c>
      <c r="Q704" t="s">
        <v>65</v>
      </c>
      <c r="R704" t="s">
        <v>66</v>
      </c>
      <c r="S704" t="s">
        <v>66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0</v>
      </c>
      <c r="AH704">
        <v>5</v>
      </c>
      <c r="AI704">
        <v>2</v>
      </c>
      <c r="AJ704">
        <v>26</v>
      </c>
      <c r="AK704">
        <v>1</v>
      </c>
      <c r="AL704">
        <v>31</v>
      </c>
      <c r="AM704">
        <v>0</v>
      </c>
      <c r="AN704" t="s">
        <v>3113</v>
      </c>
      <c r="AO704" t="s">
        <v>68</v>
      </c>
      <c r="AP704">
        <v>0.497</v>
      </c>
      <c r="AQ704" t="s">
        <v>69</v>
      </c>
      <c r="AR704">
        <v>57</v>
      </c>
      <c r="AS704">
        <v>1</v>
      </c>
      <c r="AT704">
        <v>2.4250000000000001E-2</v>
      </c>
      <c r="AU704">
        <v>-4.47E-3</v>
      </c>
      <c r="AV704">
        <v>0.11039</v>
      </c>
      <c r="AW704">
        <v>-2.0910000000000002E-2</v>
      </c>
      <c r="AX704">
        <v>4.4000000000000002E-4</v>
      </c>
      <c r="AY704">
        <v>-1.7000000000000001E-4</v>
      </c>
      <c r="AZ704">
        <v>3.9699999999999996E-3</v>
      </c>
      <c r="BA704">
        <v>1</v>
      </c>
      <c r="BB704" t="s">
        <v>70</v>
      </c>
      <c r="BC704">
        <v>0.48099999999999998</v>
      </c>
      <c r="BD704">
        <v>0.34300000000000003</v>
      </c>
      <c r="BE704" t="s">
        <v>71</v>
      </c>
    </row>
    <row r="705" spans="1:57">
      <c r="A705">
        <v>3108</v>
      </c>
      <c r="B705" t="s">
        <v>3114</v>
      </c>
      <c r="D705" t="s">
        <v>66</v>
      </c>
      <c r="E705" t="s">
        <v>3115</v>
      </c>
      <c r="F705" t="s">
        <v>74</v>
      </c>
      <c r="G705">
        <v>80</v>
      </c>
      <c r="H705" t="s">
        <v>63</v>
      </c>
      <c r="I705">
        <v>5</v>
      </c>
      <c r="J705" t="str">
        <f>HYPERLINK("Gene3108-zp_tree_all.dnd", "Gene3108-tree")</f>
        <v>Gene3108-tree</v>
      </c>
      <c r="K705">
        <v>2</v>
      </c>
      <c r="L705">
        <v>3</v>
      </c>
      <c r="M705">
        <v>2</v>
      </c>
      <c r="N705">
        <v>3</v>
      </c>
      <c r="O705">
        <v>0.6</v>
      </c>
      <c r="P705" t="s">
        <v>124</v>
      </c>
      <c r="Q705" t="s">
        <v>86</v>
      </c>
      <c r="R705" t="s">
        <v>66</v>
      </c>
      <c r="S705" t="s">
        <v>66</v>
      </c>
      <c r="T705">
        <v>0</v>
      </c>
      <c r="U705">
        <v>0</v>
      </c>
      <c r="V705">
        <v>3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3</v>
      </c>
      <c r="AG705">
        <v>0</v>
      </c>
      <c r="AH705">
        <v>4</v>
      </c>
      <c r="AI705">
        <v>2</v>
      </c>
      <c r="AJ705">
        <v>2</v>
      </c>
      <c r="AK705">
        <v>3</v>
      </c>
      <c r="AL705">
        <v>9</v>
      </c>
      <c r="AM705">
        <v>0</v>
      </c>
      <c r="AN705" t="s">
        <v>3116</v>
      </c>
      <c r="AO705" t="s">
        <v>68</v>
      </c>
      <c r="AP705">
        <v>1.5</v>
      </c>
      <c r="AQ705" t="s">
        <v>69</v>
      </c>
      <c r="AR705">
        <v>11</v>
      </c>
      <c r="AS705">
        <v>3</v>
      </c>
      <c r="AT705">
        <v>3.1220000000000001E-2</v>
      </c>
      <c r="AU705">
        <v>-4.7800000000000004E-3</v>
      </c>
      <c r="AV705">
        <v>0.12970000000000001</v>
      </c>
      <c r="AW705">
        <v>-2.402E-2</v>
      </c>
      <c r="AX705">
        <v>6.5799999999999999E-3</v>
      </c>
      <c r="AY705">
        <v>-1.0399999999999999E-3</v>
      </c>
      <c r="AZ705">
        <v>5.0700000000000002E-2</v>
      </c>
      <c r="BA705">
        <v>1</v>
      </c>
      <c r="BB705" t="s">
        <v>70</v>
      </c>
      <c r="BC705">
        <v>0.73799999999999999</v>
      </c>
      <c r="BD705">
        <v>0.73799999999999999</v>
      </c>
      <c r="BE705" t="s">
        <v>71</v>
      </c>
    </row>
    <row r="706" spans="1:57">
      <c r="A706">
        <v>3109</v>
      </c>
      <c r="B706" t="s">
        <v>3117</v>
      </c>
      <c r="D706" t="s">
        <v>66</v>
      </c>
      <c r="E706" t="s">
        <v>3118</v>
      </c>
      <c r="F706" t="s">
        <v>3119</v>
      </c>
      <c r="G706">
        <v>257</v>
      </c>
      <c r="H706" t="s">
        <v>85</v>
      </c>
      <c r="I706">
        <v>4</v>
      </c>
      <c r="J706" t="str">
        <f>HYPERLINK("Gene3109-zp_tree_all.dnd", "Gene3109-tree")</f>
        <v>Gene3109-tree</v>
      </c>
      <c r="K706">
        <v>1</v>
      </c>
      <c r="L706">
        <v>3</v>
      </c>
      <c r="M706">
        <v>1</v>
      </c>
      <c r="N706">
        <v>3</v>
      </c>
      <c r="O706">
        <v>0.75</v>
      </c>
      <c r="P706" t="s">
        <v>65</v>
      </c>
      <c r="Q706" t="s">
        <v>86</v>
      </c>
      <c r="R706" t="s">
        <v>66</v>
      </c>
      <c r="S706" t="s">
        <v>66</v>
      </c>
      <c r="T706">
        <v>0</v>
      </c>
      <c r="U706">
        <v>0</v>
      </c>
      <c r="V706">
        <v>8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8</v>
      </c>
      <c r="AG706">
        <v>0</v>
      </c>
      <c r="AH706">
        <v>4</v>
      </c>
      <c r="AI706">
        <v>1</v>
      </c>
      <c r="AJ706">
        <v>46</v>
      </c>
      <c r="AK706">
        <v>7</v>
      </c>
      <c r="AL706">
        <v>0</v>
      </c>
      <c r="AM706">
        <v>1</v>
      </c>
      <c r="AN706" t="s">
        <v>3120</v>
      </c>
      <c r="AO706" t="s">
        <v>68</v>
      </c>
      <c r="AP706">
        <v>1.004</v>
      </c>
      <c r="AQ706" t="s">
        <v>69</v>
      </c>
      <c r="AR706">
        <v>46</v>
      </c>
      <c r="AS706">
        <v>8</v>
      </c>
      <c r="AT706">
        <v>3.3939999999999998E-2</v>
      </c>
      <c r="AU706">
        <v>-7.3200000000000001E-3</v>
      </c>
      <c r="AV706">
        <v>0.14233999999999999</v>
      </c>
      <c r="AW706">
        <v>-3.2820000000000002E-2</v>
      </c>
      <c r="AX706">
        <v>7.0299999999999998E-3</v>
      </c>
      <c r="AY706">
        <v>-1.57E-3</v>
      </c>
      <c r="AZ706">
        <v>4.9369999999999997E-2</v>
      </c>
      <c r="BA706">
        <v>1</v>
      </c>
      <c r="BB706" t="s">
        <v>70</v>
      </c>
      <c r="BC706">
        <v>-0.61799999999999999</v>
      </c>
      <c r="BD706">
        <v>-0.61799999999999999</v>
      </c>
      <c r="BE706" t="s">
        <v>71</v>
      </c>
    </row>
    <row r="707" spans="1:57">
      <c r="A707">
        <v>3113</v>
      </c>
      <c r="B707" t="s">
        <v>3121</v>
      </c>
      <c r="D707" t="s">
        <v>66</v>
      </c>
      <c r="E707" t="s">
        <v>3122</v>
      </c>
      <c r="F707" t="s">
        <v>3123</v>
      </c>
      <c r="G707">
        <v>158</v>
      </c>
      <c r="H707" t="s">
        <v>63</v>
      </c>
      <c r="I707">
        <v>5</v>
      </c>
      <c r="J707" t="str">
        <f>HYPERLINK("Gene3113-zp_tree_all.dnd", "Gene3113-tree")</f>
        <v>Gene3113-tree</v>
      </c>
      <c r="K707">
        <v>4</v>
      </c>
      <c r="L707">
        <v>1</v>
      </c>
      <c r="M707">
        <v>4</v>
      </c>
      <c r="N707">
        <v>1</v>
      </c>
      <c r="O707">
        <v>0.2</v>
      </c>
      <c r="P707" t="s">
        <v>64</v>
      </c>
      <c r="Q707" t="s">
        <v>65</v>
      </c>
      <c r="R707" t="s">
        <v>66</v>
      </c>
      <c r="S707" t="s">
        <v>66</v>
      </c>
      <c r="T707">
        <v>0</v>
      </c>
      <c r="U707">
        <v>0</v>
      </c>
      <c r="V707">
        <v>3</v>
      </c>
      <c r="W707">
        <v>0</v>
      </c>
      <c r="X707">
        <v>0</v>
      </c>
      <c r="Y707">
        <v>0</v>
      </c>
      <c r="Z707">
        <v>0</v>
      </c>
      <c r="AA707">
        <v>2</v>
      </c>
      <c r="AB707">
        <v>0</v>
      </c>
      <c r="AC707">
        <v>0</v>
      </c>
      <c r="AD707">
        <v>0</v>
      </c>
      <c r="AE707">
        <v>0</v>
      </c>
      <c r="AF707">
        <v>1</v>
      </c>
      <c r="AG707">
        <v>0</v>
      </c>
      <c r="AH707">
        <v>4</v>
      </c>
      <c r="AI707">
        <v>2</v>
      </c>
      <c r="AJ707">
        <v>12</v>
      </c>
      <c r="AK707">
        <v>1</v>
      </c>
      <c r="AL707">
        <v>11</v>
      </c>
      <c r="AM707">
        <v>2</v>
      </c>
      <c r="AN707" t="s">
        <v>3124</v>
      </c>
      <c r="AO707" t="s">
        <v>3125</v>
      </c>
      <c r="AP707">
        <v>0.47299999999999998</v>
      </c>
      <c r="AQ707" t="s">
        <v>69</v>
      </c>
      <c r="AR707">
        <v>23</v>
      </c>
      <c r="AS707">
        <v>3</v>
      </c>
      <c r="AT707">
        <v>2.6579999999999999E-2</v>
      </c>
      <c r="AU707">
        <v>-3.8500000000000001E-3</v>
      </c>
      <c r="AV707">
        <v>0.12273000000000001</v>
      </c>
      <c r="AW707">
        <v>-1.788E-2</v>
      </c>
      <c r="AX707">
        <v>4.28E-3</v>
      </c>
      <c r="AY707">
        <v>-1.0200000000000001E-3</v>
      </c>
      <c r="AZ707">
        <v>3.4889999999999997E-2</v>
      </c>
      <c r="BA707">
        <v>1</v>
      </c>
      <c r="BB707" t="s">
        <v>70</v>
      </c>
      <c r="BC707">
        <v>0.372</v>
      </c>
      <c r="BD707">
        <v>0.372</v>
      </c>
      <c r="BE707" t="s">
        <v>71</v>
      </c>
    </row>
    <row r="708" spans="1:57">
      <c r="A708">
        <v>3114</v>
      </c>
      <c r="B708" t="s">
        <v>3126</v>
      </c>
      <c r="D708" t="s">
        <v>66</v>
      </c>
      <c r="E708" t="s">
        <v>3127</v>
      </c>
      <c r="F708" t="s">
        <v>74</v>
      </c>
      <c r="G708">
        <v>134</v>
      </c>
      <c r="H708" t="s">
        <v>63</v>
      </c>
      <c r="I708">
        <v>5</v>
      </c>
      <c r="J708" t="str">
        <f>HYPERLINK("Gene3114-zp_tree_all.dnd", "Gene3114-tree")</f>
        <v>Gene3114-tree</v>
      </c>
      <c r="K708">
        <v>1</v>
      </c>
      <c r="L708">
        <v>4</v>
      </c>
      <c r="M708">
        <v>1</v>
      </c>
      <c r="N708">
        <v>4</v>
      </c>
      <c r="O708">
        <v>0.8</v>
      </c>
      <c r="P708" t="s">
        <v>65</v>
      </c>
      <c r="Q708" t="s">
        <v>64</v>
      </c>
      <c r="R708" t="s">
        <v>66</v>
      </c>
      <c r="S708" t="s">
        <v>66</v>
      </c>
      <c r="T708">
        <v>1</v>
      </c>
      <c r="U708">
        <v>2</v>
      </c>
      <c r="V708">
        <v>5</v>
      </c>
      <c r="W708">
        <v>0.28571000000000002</v>
      </c>
      <c r="X708">
        <v>0</v>
      </c>
      <c r="Y708">
        <v>0</v>
      </c>
      <c r="Z708">
        <v>0</v>
      </c>
      <c r="AA708">
        <v>2</v>
      </c>
      <c r="AB708">
        <v>0</v>
      </c>
      <c r="AC708">
        <v>0</v>
      </c>
      <c r="AD708">
        <v>0</v>
      </c>
      <c r="AE708">
        <v>0</v>
      </c>
      <c r="AF708">
        <v>5</v>
      </c>
      <c r="AG708">
        <v>0</v>
      </c>
      <c r="AH708">
        <v>4</v>
      </c>
      <c r="AI708">
        <v>2</v>
      </c>
      <c r="AJ708">
        <v>4</v>
      </c>
      <c r="AK708">
        <v>5</v>
      </c>
      <c r="AL708">
        <v>12</v>
      </c>
      <c r="AM708">
        <v>2</v>
      </c>
      <c r="AN708" t="s">
        <v>3128</v>
      </c>
      <c r="AO708" t="s">
        <v>3129</v>
      </c>
      <c r="AP708">
        <v>1.8440000000000001</v>
      </c>
      <c r="AQ708" t="s">
        <v>69</v>
      </c>
      <c r="AR708">
        <v>16</v>
      </c>
      <c r="AS708">
        <v>7</v>
      </c>
      <c r="AT708">
        <v>2.886E-2</v>
      </c>
      <c r="AU708">
        <v>-4.3400000000000001E-3</v>
      </c>
      <c r="AV708">
        <v>0.10279000000000001</v>
      </c>
      <c r="AW708">
        <v>-1.9539999999999998E-2</v>
      </c>
      <c r="AX708">
        <v>9.1500000000000001E-3</v>
      </c>
      <c r="AY708">
        <v>-1.2999999999999999E-3</v>
      </c>
      <c r="AZ708">
        <v>8.9029999999999998E-2</v>
      </c>
      <c r="BA708">
        <v>1</v>
      </c>
      <c r="BB708" t="s">
        <v>70</v>
      </c>
      <c r="BC708">
        <v>0.73</v>
      </c>
      <c r="BD708">
        <v>0.73</v>
      </c>
      <c r="BE708" t="s">
        <v>71</v>
      </c>
    </row>
    <row r="709" spans="1:57">
      <c r="A709">
        <v>3115</v>
      </c>
      <c r="B709" t="s">
        <v>3130</v>
      </c>
      <c r="D709" t="s">
        <v>66</v>
      </c>
      <c r="E709" t="s">
        <v>3131</v>
      </c>
      <c r="F709" t="s">
        <v>3132</v>
      </c>
      <c r="G709">
        <v>145</v>
      </c>
      <c r="H709" t="s">
        <v>63</v>
      </c>
      <c r="I709">
        <v>5</v>
      </c>
      <c r="J709" t="str">
        <f>HYPERLINK("Gene3115-zp_tree_all.dnd", "Gene3115-tree")</f>
        <v>Gene3115-tree</v>
      </c>
      <c r="K709">
        <v>5</v>
      </c>
      <c r="L709">
        <v>0</v>
      </c>
      <c r="M709">
        <v>5</v>
      </c>
      <c r="N709">
        <v>0</v>
      </c>
      <c r="O709">
        <v>0</v>
      </c>
      <c r="P709" t="s">
        <v>96</v>
      </c>
      <c r="Q709" t="s">
        <v>66</v>
      </c>
      <c r="R709" t="s">
        <v>66</v>
      </c>
      <c r="S709" t="s">
        <v>66</v>
      </c>
      <c r="T709">
        <v>0</v>
      </c>
      <c r="U709">
        <v>0</v>
      </c>
      <c r="V709">
        <v>2</v>
      </c>
      <c r="W709">
        <v>0</v>
      </c>
      <c r="X709">
        <v>0</v>
      </c>
      <c r="Y709">
        <v>0</v>
      </c>
      <c r="Z709">
        <v>0</v>
      </c>
      <c r="AA709">
        <v>2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5</v>
      </c>
      <c r="AI709">
        <v>2</v>
      </c>
      <c r="AJ709">
        <v>11</v>
      </c>
      <c r="AK709">
        <v>0</v>
      </c>
      <c r="AL709">
        <v>10</v>
      </c>
      <c r="AM709">
        <v>2</v>
      </c>
      <c r="AN709" t="s">
        <v>68</v>
      </c>
      <c r="AO709" t="s">
        <v>3133</v>
      </c>
      <c r="AP709">
        <v>0.85299999999999998</v>
      </c>
      <c r="AQ709" t="s">
        <v>69</v>
      </c>
      <c r="AR709">
        <v>21</v>
      </c>
      <c r="AS709">
        <v>2</v>
      </c>
      <c r="AT709">
        <v>2.657E-2</v>
      </c>
      <c r="AU709">
        <v>-4.3600000000000002E-3</v>
      </c>
      <c r="AV709">
        <v>0.12509999999999999</v>
      </c>
      <c r="AW709">
        <v>-2.009E-2</v>
      </c>
      <c r="AX709">
        <v>3.5599999999999998E-3</v>
      </c>
      <c r="AY709">
        <v>-8.4999999999999995E-4</v>
      </c>
      <c r="AZ709">
        <v>2.844E-2</v>
      </c>
      <c r="BA709">
        <v>1</v>
      </c>
      <c r="BB709" t="s">
        <v>70</v>
      </c>
      <c r="BC709">
        <v>0.55700000000000005</v>
      </c>
      <c r="BD709">
        <v>0.51100000000000001</v>
      </c>
      <c r="BE709" t="s">
        <v>71</v>
      </c>
    </row>
    <row r="710" spans="1:57">
      <c r="A710">
        <v>3118</v>
      </c>
      <c r="B710" t="s">
        <v>3134</v>
      </c>
      <c r="D710" t="s">
        <v>66</v>
      </c>
      <c r="E710" t="s">
        <v>3135</v>
      </c>
      <c r="F710" t="s">
        <v>3136</v>
      </c>
      <c r="G710">
        <v>157</v>
      </c>
      <c r="H710" t="s">
        <v>63</v>
      </c>
      <c r="I710">
        <v>5</v>
      </c>
      <c r="J710" t="str">
        <f>HYPERLINK("Gene3118-zp_tree_all.dnd", "Gene3118-tree")</f>
        <v>Gene3118-tree</v>
      </c>
      <c r="K710">
        <v>4</v>
      </c>
      <c r="L710">
        <v>1</v>
      </c>
      <c r="M710">
        <v>4</v>
      </c>
      <c r="N710">
        <v>1</v>
      </c>
      <c r="O710">
        <v>0.2</v>
      </c>
      <c r="P710" t="s">
        <v>64</v>
      </c>
      <c r="Q710" t="s">
        <v>65</v>
      </c>
      <c r="R710" t="s">
        <v>66</v>
      </c>
      <c r="S710" t="s">
        <v>66</v>
      </c>
      <c r="T710">
        <v>0</v>
      </c>
      <c r="U710">
        <v>0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1</v>
      </c>
      <c r="AG710">
        <v>0</v>
      </c>
      <c r="AH710">
        <v>4</v>
      </c>
      <c r="AI710">
        <v>2</v>
      </c>
      <c r="AJ710">
        <v>10</v>
      </c>
      <c r="AK710">
        <v>1</v>
      </c>
      <c r="AL710">
        <v>11</v>
      </c>
      <c r="AM710">
        <v>0</v>
      </c>
      <c r="AN710" t="s">
        <v>3137</v>
      </c>
      <c r="AO710" t="s">
        <v>68</v>
      </c>
      <c r="AP710">
        <v>0.64</v>
      </c>
      <c r="AQ710" t="s">
        <v>69</v>
      </c>
      <c r="AR710">
        <v>21</v>
      </c>
      <c r="AS710">
        <v>1</v>
      </c>
      <c r="AT710">
        <v>2.2929999999999999E-2</v>
      </c>
      <c r="AU710">
        <v>-3.7200000000000002E-3</v>
      </c>
      <c r="AV710">
        <v>0.11047999999999999</v>
      </c>
      <c r="AW710">
        <v>-1.8939999999999999E-2</v>
      </c>
      <c r="AX710">
        <v>1.09E-3</v>
      </c>
      <c r="AY710">
        <v>-4.2000000000000002E-4</v>
      </c>
      <c r="AZ710">
        <v>9.8700000000000003E-3</v>
      </c>
      <c r="BA710">
        <v>1</v>
      </c>
      <c r="BB710" t="s">
        <v>70</v>
      </c>
      <c r="BC710">
        <v>0.52900000000000003</v>
      </c>
      <c r="BD710">
        <v>0.23499999999999999</v>
      </c>
      <c r="BE710" t="s">
        <v>71</v>
      </c>
    </row>
    <row r="711" spans="1:57">
      <c r="A711">
        <v>3121</v>
      </c>
      <c r="B711" t="s">
        <v>3138</v>
      </c>
      <c r="D711" t="s">
        <v>66</v>
      </c>
      <c r="E711" t="s">
        <v>3139</v>
      </c>
      <c r="F711" t="s">
        <v>3140</v>
      </c>
      <c r="G711">
        <v>82</v>
      </c>
      <c r="H711" t="s">
        <v>63</v>
      </c>
      <c r="I711">
        <v>5</v>
      </c>
      <c r="J711" t="str">
        <f>HYPERLINK("Gene3121-zp_tree_all.dnd", "Gene3121-tree")</f>
        <v>Gene3121-tree</v>
      </c>
      <c r="K711">
        <v>5</v>
      </c>
      <c r="L711">
        <v>0</v>
      </c>
      <c r="M711">
        <v>5</v>
      </c>
      <c r="N711">
        <v>0</v>
      </c>
      <c r="O711">
        <v>0</v>
      </c>
      <c r="P711" t="s">
        <v>96</v>
      </c>
      <c r="Q711" t="s">
        <v>66</v>
      </c>
      <c r="R711" t="s">
        <v>66</v>
      </c>
      <c r="S711" t="s">
        <v>66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4</v>
      </c>
      <c r="AI711">
        <v>2</v>
      </c>
      <c r="AJ711">
        <v>10</v>
      </c>
      <c r="AK711">
        <v>0</v>
      </c>
      <c r="AL711">
        <v>10</v>
      </c>
      <c r="AM711">
        <v>0</v>
      </c>
      <c r="AN711" t="s">
        <v>68</v>
      </c>
      <c r="AO711" t="s">
        <v>68</v>
      </c>
      <c r="AP711">
        <v>0</v>
      </c>
      <c r="AQ711" t="s">
        <v>69</v>
      </c>
      <c r="AR711">
        <v>20</v>
      </c>
      <c r="AS711">
        <v>0</v>
      </c>
      <c r="AT711">
        <v>3.8210000000000001E-2</v>
      </c>
      <c r="AU711">
        <v>-4.9199999999999999E-3</v>
      </c>
      <c r="AV711">
        <v>0.21648000000000001</v>
      </c>
      <c r="AW711">
        <v>-3.0210000000000001E-2</v>
      </c>
      <c r="AX711">
        <v>0</v>
      </c>
      <c r="AY711">
        <v>0</v>
      </c>
      <c r="AZ711">
        <v>0</v>
      </c>
      <c r="BA711">
        <v>1</v>
      </c>
      <c r="BB711" t="s">
        <v>70</v>
      </c>
      <c r="BC711">
        <v>0.64800000000000002</v>
      </c>
      <c r="BD711">
        <v>0.307</v>
      </c>
      <c r="BE711" t="s">
        <v>71</v>
      </c>
    </row>
    <row r="712" spans="1:57">
      <c r="A712">
        <v>3131</v>
      </c>
      <c r="B712" t="s">
        <v>3143</v>
      </c>
      <c r="D712" t="s">
        <v>66</v>
      </c>
      <c r="E712" t="s">
        <v>3144</v>
      </c>
      <c r="F712" t="s">
        <v>3145</v>
      </c>
      <c r="G712">
        <v>271</v>
      </c>
      <c r="H712" t="s">
        <v>106</v>
      </c>
      <c r="I712">
        <v>4</v>
      </c>
      <c r="J712" t="str">
        <f>HYPERLINK("Gene3131-zp_tree_all.dnd", "Gene3131-tree")</f>
        <v>Gene3131-tree</v>
      </c>
      <c r="K712">
        <v>4</v>
      </c>
      <c r="L712">
        <v>0</v>
      </c>
      <c r="M712">
        <v>4</v>
      </c>
      <c r="N712">
        <v>0</v>
      </c>
      <c r="O712">
        <v>0</v>
      </c>
      <c r="P712" t="s">
        <v>64</v>
      </c>
      <c r="Q712" t="s">
        <v>66</v>
      </c>
      <c r="R712" t="s">
        <v>66</v>
      </c>
      <c r="S712" t="s">
        <v>66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4</v>
      </c>
      <c r="AI712">
        <v>1</v>
      </c>
      <c r="AJ712">
        <v>41</v>
      </c>
      <c r="AK712">
        <v>0</v>
      </c>
      <c r="AL712">
        <v>1</v>
      </c>
      <c r="AM712">
        <v>0</v>
      </c>
      <c r="AN712" t="s">
        <v>68</v>
      </c>
      <c r="AO712" t="s">
        <v>68</v>
      </c>
      <c r="AP712">
        <v>0</v>
      </c>
      <c r="AQ712" t="s">
        <v>69</v>
      </c>
      <c r="AR712">
        <v>42</v>
      </c>
      <c r="AS712">
        <v>0</v>
      </c>
      <c r="AT712">
        <v>2.5399999999999999E-2</v>
      </c>
      <c r="AU712">
        <v>-8.3700000000000007E-3</v>
      </c>
      <c r="AV712">
        <v>0.12263</v>
      </c>
      <c r="AW712">
        <v>-4.1450000000000001E-2</v>
      </c>
      <c r="AX712">
        <v>0</v>
      </c>
      <c r="AY712">
        <v>0</v>
      </c>
      <c r="AZ712">
        <v>0</v>
      </c>
      <c r="BA712">
        <v>1</v>
      </c>
      <c r="BB712" t="s">
        <v>70</v>
      </c>
      <c r="BC712">
        <v>-0.627</v>
      </c>
      <c r="BD712">
        <v>-0.627</v>
      </c>
      <c r="BE712" t="s">
        <v>71</v>
      </c>
    </row>
    <row r="713" spans="1:57">
      <c r="A713">
        <v>3152</v>
      </c>
      <c r="B713" t="s">
        <v>3146</v>
      </c>
      <c r="D713" t="s">
        <v>66</v>
      </c>
      <c r="E713" t="s">
        <v>3147</v>
      </c>
      <c r="F713" t="s">
        <v>74</v>
      </c>
      <c r="G713">
        <v>509</v>
      </c>
      <c r="H713" t="s">
        <v>106</v>
      </c>
      <c r="I713">
        <v>4</v>
      </c>
      <c r="J713" t="str">
        <f>HYPERLINK("Gene3152-zp_tree_all.dnd", "Gene3152-tree")</f>
        <v>Gene3152-tree</v>
      </c>
      <c r="K713">
        <v>1</v>
      </c>
      <c r="L713">
        <v>3</v>
      </c>
      <c r="M713">
        <v>1</v>
      </c>
      <c r="N713">
        <v>3</v>
      </c>
      <c r="O713">
        <v>0.75</v>
      </c>
      <c r="P713" t="s">
        <v>65</v>
      </c>
      <c r="Q713" t="s">
        <v>86</v>
      </c>
      <c r="R713" t="s">
        <v>66</v>
      </c>
      <c r="S713" t="s">
        <v>66</v>
      </c>
      <c r="T713">
        <v>0</v>
      </c>
      <c r="U713">
        <v>0</v>
      </c>
      <c r="V713">
        <v>8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8</v>
      </c>
      <c r="AG713">
        <v>0</v>
      </c>
      <c r="AH713">
        <v>4</v>
      </c>
      <c r="AI713">
        <v>1</v>
      </c>
      <c r="AJ713">
        <v>93</v>
      </c>
      <c r="AK713">
        <v>8</v>
      </c>
      <c r="AL713">
        <v>7</v>
      </c>
      <c r="AM713">
        <v>0</v>
      </c>
      <c r="AN713" t="s">
        <v>3148</v>
      </c>
      <c r="AO713" t="s">
        <v>68</v>
      </c>
      <c r="AP713">
        <v>1.167</v>
      </c>
      <c r="AQ713" t="s">
        <v>69</v>
      </c>
      <c r="AR713">
        <v>100</v>
      </c>
      <c r="AS713">
        <v>8</v>
      </c>
      <c r="AT713">
        <v>3.397E-2</v>
      </c>
      <c r="AU713">
        <v>-7.3200000000000001E-3</v>
      </c>
      <c r="AV713">
        <v>0.15842999999999999</v>
      </c>
      <c r="AW713">
        <v>-3.7019999999999997E-2</v>
      </c>
      <c r="AX713">
        <v>3.4099999999999998E-3</v>
      </c>
      <c r="AY713">
        <v>-7.5000000000000002E-4</v>
      </c>
      <c r="AZ713">
        <v>2.1520000000000001E-2</v>
      </c>
      <c r="BA713">
        <v>1</v>
      </c>
      <c r="BB713" t="s">
        <v>70</v>
      </c>
      <c r="BC713">
        <v>-0.246</v>
      </c>
      <c r="BD713">
        <v>-0.443</v>
      </c>
      <c r="BE713" t="s">
        <v>71</v>
      </c>
    </row>
    <row r="714" spans="1:57">
      <c r="A714">
        <v>3162</v>
      </c>
      <c r="B714" t="s">
        <v>3152</v>
      </c>
      <c r="D714" t="s">
        <v>66</v>
      </c>
      <c r="E714" t="s">
        <v>3153</v>
      </c>
      <c r="F714" t="s">
        <v>74</v>
      </c>
      <c r="G714">
        <v>87</v>
      </c>
      <c r="H714" t="s">
        <v>63</v>
      </c>
      <c r="I714">
        <v>5</v>
      </c>
      <c r="J714" t="str">
        <f>HYPERLINK("Gene3162-zp_tree_all.dnd", "Gene3162-tree")</f>
        <v>Gene3162-tree</v>
      </c>
      <c r="K714">
        <v>5</v>
      </c>
      <c r="L714">
        <v>0</v>
      </c>
      <c r="M714">
        <v>5</v>
      </c>
      <c r="N714">
        <v>0</v>
      </c>
      <c r="O714">
        <v>0</v>
      </c>
      <c r="P714" t="s">
        <v>96</v>
      </c>
      <c r="Q714" t="s">
        <v>66</v>
      </c>
      <c r="R714" t="s">
        <v>66</v>
      </c>
      <c r="S714" t="s">
        <v>66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4</v>
      </c>
      <c r="AI714">
        <v>2</v>
      </c>
      <c r="AJ714">
        <v>7</v>
      </c>
      <c r="AK714">
        <v>0</v>
      </c>
      <c r="AL714">
        <v>8</v>
      </c>
      <c r="AM714">
        <v>0</v>
      </c>
      <c r="AN714" t="s">
        <v>68</v>
      </c>
      <c r="AO714" t="s">
        <v>68</v>
      </c>
      <c r="AP714">
        <v>0</v>
      </c>
      <c r="AQ714" t="s">
        <v>69</v>
      </c>
      <c r="AR714">
        <v>15</v>
      </c>
      <c r="AS714">
        <v>0</v>
      </c>
      <c r="AT714">
        <v>2.759E-2</v>
      </c>
      <c r="AU714">
        <v>-3.8999999999999998E-3</v>
      </c>
      <c r="AV714">
        <v>0.13361000000000001</v>
      </c>
      <c r="AW714">
        <v>-2.001E-2</v>
      </c>
      <c r="AX714">
        <v>0</v>
      </c>
      <c r="AY714">
        <v>0</v>
      </c>
      <c r="AZ714">
        <v>0</v>
      </c>
      <c r="BA714">
        <v>1</v>
      </c>
      <c r="BB714" t="s">
        <v>70</v>
      </c>
      <c r="BC714">
        <v>0.52100000000000002</v>
      </c>
      <c r="BD714">
        <v>0.52100000000000002</v>
      </c>
      <c r="BE714" t="s">
        <v>71</v>
      </c>
    </row>
    <row r="715" spans="1:57">
      <c r="A715">
        <v>3183</v>
      </c>
      <c r="B715" t="s">
        <v>3154</v>
      </c>
      <c r="D715" t="s">
        <v>66</v>
      </c>
      <c r="E715" t="s">
        <v>3155</v>
      </c>
      <c r="F715" t="s">
        <v>3156</v>
      </c>
      <c r="G715">
        <v>225</v>
      </c>
      <c r="H715" t="s">
        <v>63</v>
      </c>
      <c r="I715">
        <v>5</v>
      </c>
      <c r="J715" t="str">
        <f>HYPERLINK("Gene3183-zp_tree_all.dnd", "Gene3183-tree")</f>
        <v>Gene3183-tree</v>
      </c>
      <c r="K715">
        <v>4</v>
      </c>
      <c r="L715">
        <v>1</v>
      </c>
      <c r="M715">
        <v>4</v>
      </c>
      <c r="N715">
        <v>1</v>
      </c>
      <c r="O715">
        <v>0.2</v>
      </c>
      <c r="P715" t="s">
        <v>64</v>
      </c>
      <c r="Q715" t="s">
        <v>65</v>
      </c>
      <c r="R715" t="s">
        <v>66</v>
      </c>
      <c r="S715" t="s">
        <v>66</v>
      </c>
      <c r="T715">
        <v>0</v>
      </c>
      <c r="U715">
        <v>0</v>
      </c>
      <c r="V715">
        <v>3</v>
      </c>
      <c r="W715">
        <v>0</v>
      </c>
      <c r="X715">
        <v>0</v>
      </c>
      <c r="Y715">
        <v>0</v>
      </c>
      <c r="Z715">
        <v>0</v>
      </c>
      <c r="AA715">
        <v>2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0</v>
      </c>
      <c r="AH715">
        <v>4</v>
      </c>
      <c r="AI715">
        <v>2</v>
      </c>
      <c r="AJ715">
        <v>11</v>
      </c>
      <c r="AK715">
        <v>1</v>
      </c>
      <c r="AL715">
        <v>17</v>
      </c>
      <c r="AM715">
        <v>2</v>
      </c>
      <c r="AN715" t="s">
        <v>3157</v>
      </c>
      <c r="AO715" t="s">
        <v>3158</v>
      </c>
      <c r="AP715">
        <v>0.113</v>
      </c>
      <c r="AQ715" t="s">
        <v>69</v>
      </c>
      <c r="AR715">
        <v>28</v>
      </c>
      <c r="AS715">
        <v>3</v>
      </c>
      <c r="AT715">
        <v>2.2960000000000001E-2</v>
      </c>
      <c r="AU715">
        <v>-4.1000000000000003E-3</v>
      </c>
      <c r="AV715">
        <v>8.9279999999999998E-2</v>
      </c>
      <c r="AW715">
        <v>-1.6320000000000001E-2</v>
      </c>
      <c r="AX715">
        <v>3.1700000000000001E-3</v>
      </c>
      <c r="AY715">
        <v>-5.5000000000000003E-4</v>
      </c>
      <c r="AZ715">
        <v>3.5479999999999998E-2</v>
      </c>
      <c r="BA715">
        <v>1</v>
      </c>
      <c r="BB715" t="s">
        <v>70</v>
      </c>
      <c r="BC715">
        <v>0.84799999999999998</v>
      </c>
      <c r="BD715">
        <v>0.57999999999999996</v>
      </c>
      <c r="BE715" t="s">
        <v>71</v>
      </c>
    </row>
    <row r="716" spans="1:57">
      <c r="A716">
        <v>3189</v>
      </c>
      <c r="B716" t="s">
        <v>3163</v>
      </c>
      <c r="D716" t="s">
        <v>66</v>
      </c>
      <c r="E716" t="s">
        <v>3164</v>
      </c>
      <c r="F716" t="s">
        <v>3165</v>
      </c>
      <c r="G716">
        <v>450</v>
      </c>
      <c r="H716" t="s">
        <v>85</v>
      </c>
      <c r="I716">
        <v>4</v>
      </c>
      <c r="J716" t="str">
        <f>HYPERLINK("Gene3189-zp_tree_all.dnd", "Gene3189-tree")</f>
        <v>Gene3189-tree</v>
      </c>
      <c r="K716">
        <v>3</v>
      </c>
      <c r="L716">
        <v>1</v>
      </c>
      <c r="M716">
        <v>3</v>
      </c>
      <c r="N716">
        <v>1</v>
      </c>
      <c r="O716">
        <v>0.25</v>
      </c>
      <c r="P716" t="s">
        <v>86</v>
      </c>
      <c r="Q716" t="s">
        <v>65</v>
      </c>
      <c r="R716" t="s">
        <v>66</v>
      </c>
      <c r="S716" t="s">
        <v>66</v>
      </c>
      <c r="T716">
        <v>0</v>
      </c>
      <c r="U716">
        <v>0</v>
      </c>
      <c r="V716">
        <v>2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2</v>
      </c>
      <c r="AG716">
        <v>0</v>
      </c>
      <c r="AH716">
        <v>4</v>
      </c>
      <c r="AI716">
        <v>1</v>
      </c>
      <c r="AJ716">
        <v>68</v>
      </c>
      <c r="AK716">
        <v>2</v>
      </c>
      <c r="AL716">
        <v>7</v>
      </c>
      <c r="AM716">
        <v>0</v>
      </c>
      <c r="AN716" t="s">
        <v>3166</v>
      </c>
      <c r="AO716" t="s">
        <v>68</v>
      </c>
      <c r="AP716">
        <v>0.42599999999999999</v>
      </c>
      <c r="AQ716" t="s">
        <v>69</v>
      </c>
      <c r="AR716">
        <v>75</v>
      </c>
      <c r="AS716">
        <v>2</v>
      </c>
      <c r="AT716">
        <v>2.8639999999999999E-2</v>
      </c>
      <c r="AU716">
        <v>-7.7099999999999998E-3</v>
      </c>
      <c r="AV716">
        <v>0.13880000000000001</v>
      </c>
      <c r="AW716">
        <v>-3.884E-2</v>
      </c>
      <c r="AX716">
        <v>9.6000000000000002E-4</v>
      </c>
      <c r="AY716">
        <v>-3.8999999999999999E-4</v>
      </c>
      <c r="AZ716">
        <v>6.9300000000000004E-3</v>
      </c>
      <c r="BA716">
        <v>1</v>
      </c>
      <c r="BB716" t="s">
        <v>70</v>
      </c>
      <c r="BC716">
        <v>-0.30199999999999999</v>
      </c>
      <c r="BD716">
        <v>-0.69499999999999995</v>
      </c>
      <c r="BE716" t="s">
        <v>71</v>
      </c>
    </row>
    <row r="717" spans="1:57">
      <c r="A717">
        <v>3193</v>
      </c>
      <c r="B717" t="s">
        <v>3169</v>
      </c>
      <c r="D717" t="s">
        <v>66</v>
      </c>
      <c r="E717" t="s">
        <v>3170</v>
      </c>
      <c r="F717" t="s">
        <v>3171</v>
      </c>
      <c r="G717">
        <v>130</v>
      </c>
      <c r="H717" t="s">
        <v>63</v>
      </c>
      <c r="I717">
        <v>5</v>
      </c>
      <c r="J717" t="str">
        <f>HYPERLINK("Gene3193-zp_tree_all.dnd", "Gene3193-tree")</f>
        <v>Gene3193-tree</v>
      </c>
      <c r="K717">
        <v>3</v>
      </c>
      <c r="L717">
        <v>2</v>
      </c>
      <c r="M717">
        <v>3</v>
      </c>
      <c r="N717">
        <v>2</v>
      </c>
      <c r="O717">
        <v>0.4</v>
      </c>
      <c r="P717" t="s">
        <v>86</v>
      </c>
      <c r="Q717" t="s">
        <v>124</v>
      </c>
      <c r="R717" t="s">
        <v>66</v>
      </c>
      <c r="S717" t="s">
        <v>66</v>
      </c>
      <c r="T717">
        <v>0</v>
      </c>
      <c r="U717">
        <v>0</v>
      </c>
      <c r="V717">
        <v>2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2</v>
      </c>
      <c r="AG717">
        <v>0</v>
      </c>
      <c r="AH717">
        <v>2</v>
      </c>
      <c r="AI717">
        <v>2</v>
      </c>
      <c r="AJ717">
        <v>2</v>
      </c>
      <c r="AK717">
        <v>2</v>
      </c>
      <c r="AL717">
        <v>2</v>
      </c>
      <c r="AM717">
        <v>0</v>
      </c>
      <c r="AN717" t="s">
        <v>3172</v>
      </c>
      <c r="AO717" t="s">
        <v>68</v>
      </c>
      <c r="AP717">
        <v>0</v>
      </c>
      <c r="AQ717" t="s">
        <v>69</v>
      </c>
      <c r="AR717">
        <v>4</v>
      </c>
      <c r="AS717">
        <v>2</v>
      </c>
      <c r="AT717">
        <v>7.1799999999999998E-3</v>
      </c>
      <c r="AU717">
        <v>-1.1900000000000001E-3</v>
      </c>
      <c r="AV717">
        <v>2.3910000000000001E-2</v>
      </c>
      <c r="AW717">
        <v>-3.8400000000000001E-3</v>
      </c>
      <c r="AX717">
        <v>2.63E-3</v>
      </c>
      <c r="AY717">
        <v>-6.3000000000000003E-4</v>
      </c>
      <c r="AZ717">
        <v>0.11012</v>
      </c>
      <c r="BA717">
        <v>1</v>
      </c>
      <c r="BB717" t="s">
        <v>70</v>
      </c>
      <c r="BC717">
        <v>-0.191</v>
      </c>
      <c r="BD717">
        <v>-0.191</v>
      </c>
      <c r="BE717" t="s">
        <v>71</v>
      </c>
    </row>
    <row r="718" spans="1:57">
      <c r="A718">
        <v>3194</v>
      </c>
      <c r="B718" t="s">
        <v>3173</v>
      </c>
      <c r="D718" t="s">
        <v>66</v>
      </c>
      <c r="E718" t="s">
        <v>3174</v>
      </c>
      <c r="F718" t="s">
        <v>3175</v>
      </c>
      <c r="G718">
        <v>386</v>
      </c>
      <c r="H718" t="s">
        <v>85</v>
      </c>
      <c r="I718">
        <v>4</v>
      </c>
      <c r="J718" t="str">
        <f>HYPERLINK("Gene3194-zp_tree_all.dnd", "Gene3194-tree")</f>
        <v>Gene3194-tree</v>
      </c>
      <c r="K718">
        <v>2</v>
      </c>
      <c r="L718">
        <v>2</v>
      </c>
      <c r="M718">
        <v>2</v>
      </c>
      <c r="N718">
        <v>2</v>
      </c>
      <c r="O718">
        <v>0.5</v>
      </c>
      <c r="P718" t="s">
        <v>124</v>
      </c>
      <c r="Q718" t="s">
        <v>124</v>
      </c>
      <c r="R718" t="s">
        <v>66</v>
      </c>
      <c r="S718" t="s">
        <v>66</v>
      </c>
      <c r="T718">
        <v>0</v>
      </c>
      <c r="U718">
        <v>0</v>
      </c>
      <c r="V718">
        <v>5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5</v>
      </c>
      <c r="AG718">
        <v>0</v>
      </c>
      <c r="AH718">
        <v>4</v>
      </c>
      <c r="AI718">
        <v>1</v>
      </c>
      <c r="AJ718">
        <v>67</v>
      </c>
      <c r="AK718">
        <v>5</v>
      </c>
      <c r="AL718">
        <v>5</v>
      </c>
      <c r="AM718">
        <v>0</v>
      </c>
      <c r="AN718" t="s">
        <v>3176</v>
      </c>
      <c r="AO718" t="s">
        <v>68</v>
      </c>
      <c r="AP718">
        <v>0.67800000000000005</v>
      </c>
      <c r="AQ718" t="s">
        <v>69</v>
      </c>
      <c r="AR718">
        <v>72</v>
      </c>
      <c r="AS718">
        <v>5</v>
      </c>
      <c r="AT718">
        <v>3.2239999999999998E-2</v>
      </c>
      <c r="AU718">
        <v>-7.8700000000000003E-3</v>
      </c>
      <c r="AV718">
        <v>0.14498</v>
      </c>
      <c r="AW718">
        <v>-3.7080000000000002E-2</v>
      </c>
      <c r="AX718">
        <v>2.8400000000000001E-3</v>
      </c>
      <c r="AY718">
        <v>-8.8000000000000003E-4</v>
      </c>
      <c r="AZ718">
        <v>1.9560000000000001E-2</v>
      </c>
      <c r="BA718">
        <v>1</v>
      </c>
      <c r="BB718" t="s">
        <v>70</v>
      </c>
      <c r="BC718">
        <v>-0.376</v>
      </c>
      <c r="BD718">
        <v>-0.64500000000000002</v>
      </c>
      <c r="BE718" t="s">
        <v>71</v>
      </c>
    </row>
    <row r="719" spans="1:57">
      <c r="A719">
        <v>3195</v>
      </c>
      <c r="B719" t="s">
        <v>3177</v>
      </c>
      <c r="D719" t="s">
        <v>66</v>
      </c>
      <c r="E719" t="s">
        <v>3178</v>
      </c>
      <c r="F719" t="s">
        <v>692</v>
      </c>
      <c r="G719">
        <v>166</v>
      </c>
      <c r="H719" t="s">
        <v>63</v>
      </c>
      <c r="I719">
        <v>5</v>
      </c>
      <c r="J719" t="str">
        <f>HYPERLINK("Gene3195-zp_tree_all.dnd", "Gene3195-tree")</f>
        <v>Gene3195-tree</v>
      </c>
      <c r="K719">
        <v>5</v>
      </c>
      <c r="L719">
        <v>0</v>
      </c>
      <c r="M719">
        <v>5</v>
      </c>
      <c r="N719">
        <v>0</v>
      </c>
      <c r="O719">
        <v>0</v>
      </c>
      <c r="P719" t="s">
        <v>96</v>
      </c>
      <c r="Q719" t="s">
        <v>66</v>
      </c>
      <c r="R719" t="s">
        <v>66</v>
      </c>
      <c r="S719" t="s">
        <v>66</v>
      </c>
      <c r="T719">
        <v>0</v>
      </c>
      <c r="U719">
        <v>0</v>
      </c>
      <c r="V719">
        <v>1</v>
      </c>
      <c r="W719">
        <v>0</v>
      </c>
      <c r="X719">
        <v>0</v>
      </c>
      <c r="Y719">
        <v>0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5</v>
      </c>
      <c r="AI719">
        <v>1</v>
      </c>
      <c r="AJ719">
        <v>12</v>
      </c>
      <c r="AK719">
        <v>0</v>
      </c>
      <c r="AL719">
        <v>13</v>
      </c>
      <c r="AM719">
        <v>1</v>
      </c>
      <c r="AN719" t="s">
        <v>68</v>
      </c>
      <c r="AO719" t="s">
        <v>3179</v>
      </c>
      <c r="AP719">
        <v>0</v>
      </c>
      <c r="AQ719" t="s">
        <v>69</v>
      </c>
      <c r="AR719">
        <v>25</v>
      </c>
      <c r="AS719">
        <v>1</v>
      </c>
      <c r="AT719">
        <v>2.6100000000000002E-2</v>
      </c>
      <c r="AU719">
        <v>-4.3600000000000002E-3</v>
      </c>
      <c r="AV719">
        <v>0.12105</v>
      </c>
      <c r="AW719">
        <v>-2.0619999999999999E-2</v>
      </c>
      <c r="AX719">
        <v>1.56E-3</v>
      </c>
      <c r="AY719">
        <v>-3.6999999999999999E-4</v>
      </c>
      <c r="AZ719">
        <v>1.291E-2</v>
      </c>
      <c r="BA719">
        <v>1</v>
      </c>
      <c r="BB719" t="s">
        <v>70</v>
      </c>
      <c r="BC719">
        <v>0.62</v>
      </c>
      <c r="BD719">
        <v>0.372</v>
      </c>
      <c r="BE719" t="s">
        <v>71</v>
      </c>
    </row>
    <row r="720" spans="1:57">
      <c r="A720">
        <v>3197</v>
      </c>
      <c r="B720" t="s">
        <v>3180</v>
      </c>
      <c r="D720" t="s">
        <v>66</v>
      </c>
      <c r="E720" t="s">
        <v>3181</v>
      </c>
      <c r="F720" t="s">
        <v>74</v>
      </c>
      <c r="G720">
        <v>86</v>
      </c>
      <c r="H720" t="s">
        <v>85</v>
      </c>
      <c r="I720">
        <v>4</v>
      </c>
      <c r="J720" t="str">
        <f>HYPERLINK("Gene3197-zp_tree_all.dnd", "Gene3197-tree")</f>
        <v>Gene3197-tree</v>
      </c>
      <c r="K720">
        <v>1</v>
      </c>
      <c r="L720">
        <v>3</v>
      </c>
      <c r="M720">
        <v>1</v>
      </c>
      <c r="N720">
        <v>3</v>
      </c>
      <c r="O720">
        <v>0.75</v>
      </c>
      <c r="P720" t="s">
        <v>65</v>
      </c>
      <c r="Q720" t="s">
        <v>86</v>
      </c>
      <c r="R720" t="s">
        <v>66</v>
      </c>
      <c r="S720" t="s">
        <v>66</v>
      </c>
      <c r="T720">
        <v>0</v>
      </c>
      <c r="U720">
        <v>0</v>
      </c>
      <c r="V720">
        <v>7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7</v>
      </c>
      <c r="AG720">
        <v>0</v>
      </c>
      <c r="AH720">
        <v>3</v>
      </c>
      <c r="AI720">
        <v>1</v>
      </c>
      <c r="AJ720">
        <v>7</v>
      </c>
      <c r="AK720">
        <v>6</v>
      </c>
      <c r="AL720">
        <v>0</v>
      </c>
      <c r="AM720">
        <v>1</v>
      </c>
      <c r="AN720" t="s">
        <v>3182</v>
      </c>
      <c r="AO720" t="s">
        <v>68</v>
      </c>
      <c r="AP720">
        <v>1.335</v>
      </c>
      <c r="AQ720" t="s">
        <v>69</v>
      </c>
      <c r="AR720">
        <v>7</v>
      </c>
      <c r="AS720">
        <v>7</v>
      </c>
      <c r="AT720">
        <v>2.7779999999999999E-2</v>
      </c>
      <c r="AU720">
        <v>-5.4400000000000004E-3</v>
      </c>
      <c r="AV720">
        <v>7.109E-2</v>
      </c>
      <c r="AW720">
        <v>-2.0119999999999999E-2</v>
      </c>
      <c r="AX720">
        <v>1.813E-2</v>
      </c>
      <c r="AY720">
        <v>-3.6700000000000001E-3</v>
      </c>
      <c r="AZ720">
        <v>0.25509999999999999</v>
      </c>
      <c r="BA720">
        <v>0.98</v>
      </c>
      <c r="BB720" t="s">
        <v>70</v>
      </c>
      <c r="BC720">
        <v>-0.624</v>
      </c>
      <c r="BD720">
        <v>-0.624</v>
      </c>
      <c r="BE720" t="s">
        <v>71</v>
      </c>
    </row>
    <row r="721" spans="1:57">
      <c r="A721">
        <v>3205</v>
      </c>
      <c r="B721" t="s">
        <v>3196</v>
      </c>
      <c r="D721" t="s">
        <v>66</v>
      </c>
      <c r="E721" t="s">
        <v>3197</v>
      </c>
      <c r="F721" t="s">
        <v>74</v>
      </c>
      <c r="G721">
        <v>185</v>
      </c>
      <c r="H721" t="s">
        <v>63</v>
      </c>
      <c r="I721">
        <v>5</v>
      </c>
      <c r="J721" t="str">
        <f>HYPERLINK("Gene3205-zp_tree_all.dnd", "Gene3205-tree")</f>
        <v>Gene3205-tree</v>
      </c>
      <c r="K721">
        <v>4</v>
      </c>
      <c r="L721">
        <v>1</v>
      </c>
      <c r="M721">
        <v>4</v>
      </c>
      <c r="N721">
        <v>1</v>
      </c>
      <c r="O721">
        <v>0.2</v>
      </c>
      <c r="P721" t="s">
        <v>64</v>
      </c>
      <c r="Q721" t="s">
        <v>65</v>
      </c>
      <c r="R721" t="s">
        <v>66</v>
      </c>
      <c r="S721" t="s">
        <v>66</v>
      </c>
      <c r="T721">
        <v>0</v>
      </c>
      <c r="U721">
        <v>0</v>
      </c>
      <c r="V721">
        <v>3</v>
      </c>
      <c r="W721">
        <v>0</v>
      </c>
      <c r="X721">
        <v>0</v>
      </c>
      <c r="Y721">
        <v>0</v>
      </c>
      <c r="Z721">
        <v>0</v>
      </c>
      <c r="AA721">
        <v>2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0</v>
      </c>
      <c r="AH721">
        <v>5</v>
      </c>
      <c r="AI721">
        <v>2</v>
      </c>
      <c r="AJ721">
        <v>6</v>
      </c>
      <c r="AK721">
        <v>1</v>
      </c>
      <c r="AL721">
        <v>13</v>
      </c>
      <c r="AM721">
        <v>2</v>
      </c>
      <c r="AN721" t="s">
        <v>3198</v>
      </c>
      <c r="AO721" t="s">
        <v>3199</v>
      </c>
      <c r="AP721">
        <v>5.3999999999999999E-2</v>
      </c>
      <c r="AQ721" t="s">
        <v>69</v>
      </c>
      <c r="AR721">
        <v>19</v>
      </c>
      <c r="AS721">
        <v>3</v>
      </c>
      <c r="AT721">
        <v>2.1260000000000001E-2</v>
      </c>
      <c r="AU721">
        <v>-3.9899999999999996E-3</v>
      </c>
      <c r="AV721">
        <v>8.0199999999999994E-2</v>
      </c>
      <c r="AW721">
        <v>-1.516E-2</v>
      </c>
      <c r="AX721">
        <v>3.8400000000000001E-3</v>
      </c>
      <c r="AY721">
        <v>-9.1E-4</v>
      </c>
      <c r="AZ721">
        <v>4.7870000000000003E-2</v>
      </c>
      <c r="BA721">
        <v>1</v>
      </c>
      <c r="BB721" t="s">
        <v>70</v>
      </c>
      <c r="BC721">
        <v>0.871</v>
      </c>
      <c r="BD721">
        <v>0.871</v>
      </c>
      <c r="BE721" t="s">
        <v>71</v>
      </c>
    </row>
    <row r="722" spans="1:57">
      <c r="A722">
        <v>3222</v>
      </c>
      <c r="B722" t="s">
        <v>3213</v>
      </c>
      <c r="D722" t="s">
        <v>66</v>
      </c>
      <c r="E722" t="s">
        <v>3214</v>
      </c>
      <c r="F722" t="s">
        <v>3215</v>
      </c>
      <c r="G722">
        <v>214</v>
      </c>
      <c r="H722" t="s">
        <v>63</v>
      </c>
      <c r="I722">
        <v>5</v>
      </c>
      <c r="J722" t="str">
        <f>HYPERLINK("Gene3222-zp_tree_all.dnd", "Gene3222-tree")</f>
        <v>Gene3222-tree</v>
      </c>
      <c r="K722">
        <v>5</v>
      </c>
      <c r="L722">
        <v>0</v>
      </c>
      <c r="M722">
        <v>5</v>
      </c>
      <c r="N722">
        <v>0</v>
      </c>
      <c r="O722">
        <v>0</v>
      </c>
      <c r="P722" t="s">
        <v>96</v>
      </c>
      <c r="Q722" t="s">
        <v>66</v>
      </c>
      <c r="R722" t="s">
        <v>66</v>
      </c>
      <c r="S722" t="s">
        <v>66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4</v>
      </c>
      <c r="AI722">
        <v>2</v>
      </c>
      <c r="AJ722">
        <v>11</v>
      </c>
      <c r="AK722">
        <v>0</v>
      </c>
      <c r="AL722">
        <v>9</v>
      </c>
      <c r="AM722">
        <v>0</v>
      </c>
      <c r="AN722" t="s">
        <v>68</v>
      </c>
      <c r="AO722" t="s">
        <v>68</v>
      </c>
      <c r="AP722">
        <v>0</v>
      </c>
      <c r="AQ722" t="s">
        <v>69</v>
      </c>
      <c r="AR722">
        <v>20</v>
      </c>
      <c r="AS722">
        <v>0</v>
      </c>
      <c r="AT722">
        <v>1.5339999999999999E-2</v>
      </c>
      <c r="AU722">
        <v>-1.98E-3</v>
      </c>
      <c r="AV722">
        <v>7.3359999999999995E-2</v>
      </c>
      <c r="AW722">
        <v>-9.7199999999999995E-3</v>
      </c>
      <c r="AX722">
        <v>0</v>
      </c>
      <c r="AY722">
        <v>0</v>
      </c>
      <c r="AZ722">
        <v>0</v>
      </c>
      <c r="BA722">
        <v>1</v>
      </c>
      <c r="BB722" t="s">
        <v>70</v>
      </c>
      <c r="BC722">
        <v>0.154</v>
      </c>
      <c r="BD722">
        <v>0.154</v>
      </c>
      <c r="BE722" t="s">
        <v>71</v>
      </c>
    </row>
    <row r="723" spans="1:57">
      <c r="A723">
        <v>3229</v>
      </c>
      <c r="B723" t="s">
        <v>3219</v>
      </c>
      <c r="D723" t="s">
        <v>66</v>
      </c>
      <c r="E723" t="s">
        <v>3220</v>
      </c>
      <c r="F723" t="s">
        <v>3221</v>
      </c>
      <c r="G723">
        <v>490</v>
      </c>
      <c r="H723" t="s">
        <v>85</v>
      </c>
      <c r="I723">
        <v>4</v>
      </c>
      <c r="J723" t="str">
        <f>HYPERLINK("Gene3229-zp_tree_all.dnd", "Gene3229-tree")</f>
        <v>Gene3229-tree</v>
      </c>
      <c r="K723">
        <v>3</v>
      </c>
      <c r="L723">
        <v>1</v>
      </c>
      <c r="M723">
        <v>3</v>
      </c>
      <c r="N723">
        <v>1</v>
      </c>
      <c r="O723">
        <v>0.25</v>
      </c>
      <c r="P723" t="s">
        <v>86</v>
      </c>
      <c r="Q723" t="s">
        <v>65</v>
      </c>
      <c r="R723" t="s">
        <v>66</v>
      </c>
      <c r="S723" t="s">
        <v>66</v>
      </c>
      <c r="T723">
        <v>0</v>
      </c>
      <c r="U723">
        <v>0</v>
      </c>
      <c r="V723">
        <v>5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5</v>
      </c>
      <c r="AG723">
        <v>0</v>
      </c>
      <c r="AH723">
        <v>4</v>
      </c>
      <c r="AI723">
        <v>1</v>
      </c>
      <c r="AJ723">
        <v>83</v>
      </c>
      <c r="AK723">
        <v>5</v>
      </c>
      <c r="AL723">
        <v>3</v>
      </c>
      <c r="AM723">
        <v>0</v>
      </c>
      <c r="AN723" t="s">
        <v>3222</v>
      </c>
      <c r="AO723" t="s">
        <v>68</v>
      </c>
      <c r="AP723">
        <v>0.43</v>
      </c>
      <c r="AQ723" t="s">
        <v>69</v>
      </c>
      <c r="AR723">
        <v>86</v>
      </c>
      <c r="AS723">
        <v>5</v>
      </c>
      <c r="AT723">
        <v>3.0839999999999999E-2</v>
      </c>
      <c r="AU723">
        <v>-8.7500000000000008E-3</v>
      </c>
      <c r="AV723">
        <v>0.15390000000000001</v>
      </c>
      <c r="AW723">
        <v>-4.4830000000000002E-2</v>
      </c>
      <c r="AX723">
        <v>2.1900000000000001E-3</v>
      </c>
      <c r="AY723">
        <v>-8.8999999999999995E-4</v>
      </c>
      <c r="AZ723">
        <v>1.4200000000000001E-2</v>
      </c>
      <c r="BA723">
        <v>1</v>
      </c>
      <c r="BB723" t="s">
        <v>70</v>
      </c>
      <c r="BC723">
        <v>-0.69199999999999995</v>
      </c>
      <c r="BD723">
        <v>-0.79900000000000004</v>
      </c>
      <c r="BE723" t="s">
        <v>71</v>
      </c>
    </row>
    <row r="724" spans="1:57">
      <c r="A724">
        <v>3230</v>
      </c>
      <c r="B724" t="s">
        <v>3223</v>
      </c>
      <c r="D724" t="s">
        <v>66</v>
      </c>
      <c r="E724" t="s">
        <v>3224</v>
      </c>
      <c r="F724" t="s">
        <v>3225</v>
      </c>
      <c r="G724">
        <v>183</v>
      </c>
      <c r="H724" t="s">
        <v>63</v>
      </c>
      <c r="I724">
        <v>5</v>
      </c>
      <c r="J724" t="str">
        <f>HYPERLINK("Gene3230-zp_tree_all.dnd", "Gene3230-tree")</f>
        <v>Gene3230-tree</v>
      </c>
      <c r="K724">
        <v>2</v>
      </c>
      <c r="L724">
        <v>3</v>
      </c>
      <c r="M724">
        <v>2</v>
      </c>
      <c r="N724">
        <v>3</v>
      </c>
      <c r="O724">
        <v>0.6</v>
      </c>
      <c r="P724" t="s">
        <v>124</v>
      </c>
      <c r="Q724" t="s">
        <v>86</v>
      </c>
      <c r="R724" t="s">
        <v>66</v>
      </c>
      <c r="S724" t="s">
        <v>66</v>
      </c>
      <c r="T724">
        <v>0</v>
      </c>
      <c r="U724">
        <v>0</v>
      </c>
      <c r="V724">
        <v>6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0</v>
      </c>
      <c r="AC724">
        <v>0</v>
      </c>
      <c r="AD724">
        <v>0</v>
      </c>
      <c r="AE724">
        <v>0</v>
      </c>
      <c r="AF724">
        <v>3</v>
      </c>
      <c r="AG724">
        <v>0</v>
      </c>
      <c r="AH724">
        <v>4</v>
      </c>
      <c r="AI724">
        <v>2</v>
      </c>
      <c r="AJ724">
        <v>7</v>
      </c>
      <c r="AK724">
        <v>3</v>
      </c>
      <c r="AL724">
        <v>9</v>
      </c>
      <c r="AM724">
        <v>3</v>
      </c>
      <c r="AN724" t="s">
        <v>3226</v>
      </c>
      <c r="AO724" t="s">
        <v>3227</v>
      </c>
      <c r="AP724">
        <v>0.246</v>
      </c>
      <c r="AQ724" t="s">
        <v>69</v>
      </c>
      <c r="AR724">
        <v>16</v>
      </c>
      <c r="AS724">
        <v>6</v>
      </c>
      <c r="AT724">
        <v>1.9130000000000001E-2</v>
      </c>
      <c r="AU724">
        <v>-3.0200000000000001E-3</v>
      </c>
      <c r="AV724">
        <v>6.4610000000000001E-2</v>
      </c>
      <c r="AW724">
        <v>-1.093E-2</v>
      </c>
      <c r="AX724">
        <v>7.0800000000000004E-3</v>
      </c>
      <c r="AY724">
        <v>-1.16E-3</v>
      </c>
      <c r="AZ724">
        <v>0.10954999999999999</v>
      </c>
      <c r="BA724">
        <v>1</v>
      </c>
      <c r="BB724" t="s">
        <v>70</v>
      </c>
      <c r="BC724">
        <v>0.69299999999999995</v>
      </c>
      <c r="BD724">
        <v>0.308</v>
      </c>
      <c r="BE724" t="s">
        <v>71</v>
      </c>
    </row>
    <row r="725" spans="1:57">
      <c r="A725">
        <v>3236</v>
      </c>
      <c r="B725" t="s">
        <v>3228</v>
      </c>
      <c r="D725" t="s">
        <v>66</v>
      </c>
      <c r="E725" t="s">
        <v>3229</v>
      </c>
      <c r="F725" t="s">
        <v>74</v>
      </c>
      <c r="G725">
        <v>78</v>
      </c>
      <c r="H725" t="s">
        <v>63</v>
      </c>
      <c r="I725">
        <v>5</v>
      </c>
      <c r="J725" t="str">
        <f>HYPERLINK("Gene3236-zp_tree_all.dnd", "Gene3236-tree")</f>
        <v>Gene3236-tree</v>
      </c>
      <c r="K725">
        <v>4</v>
      </c>
      <c r="L725">
        <v>1</v>
      </c>
      <c r="M725">
        <v>4</v>
      </c>
      <c r="N725">
        <v>1</v>
      </c>
      <c r="O725">
        <v>0.2</v>
      </c>
      <c r="P725" t="s">
        <v>64</v>
      </c>
      <c r="Q725" t="s">
        <v>65</v>
      </c>
      <c r="R725" t="s">
        <v>66</v>
      </c>
      <c r="S725" t="s">
        <v>66</v>
      </c>
      <c r="T725">
        <v>0</v>
      </c>
      <c r="U725">
        <v>0</v>
      </c>
      <c r="V725">
        <v>1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1</v>
      </c>
      <c r="AG725">
        <v>0</v>
      </c>
      <c r="AH725">
        <v>3</v>
      </c>
      <c r="AI725">
        <v>1</v>
      </c>
      <c r="AJ725">
        <v>7</v>
      </c>
      <c r="AK725">
        <v>1</v>
      </c>
      <c r="AL725">
        <v>3</v>
      </c>
      <c r="AM725">
        <v>0</v>
      </c>
      <c r="AN725" t="s">
        <v>3230</v>
      </c>
      <c r="AO725" t="s">
        <v>68</v>
      </c>
      <c r="AP725">
        <v>0.753</v>
      </c>
      <c r="AQ725" t="s">
        <v>69</v>
      </c>
      <c r="AR725">
        <v>10</v>
      </c>
      <c r="AS725">
        <v>1</v>
      </c>
      <c r="AT725">
        <v>2.1649999999999999E-2</v>
      </c>
      <c r="AU725">
        <v>-3.3500000000000001E-3</v>
      </c>
      <c r="AV725">
        <v>8.9760000000000006E-2</v>
      </c>
      <c r="AW725">
        <v>-1.465E-2</v>
      </c>
      <c r="AX725">
        <v>2.2799999999999999E-3</v>
      </c>
      <c r="AY725">
        <v>-8.8000000000000003E-4</v>
      </c>
      <c r="AZ725">
        <v>2.545E-2</v>
      </c>
      <c r="BA725">
        <v>1</v>
      </c>
      <c r="BB725" t="s">
        <v>70</v>
      </c>
      <c r="BC725">
        <v>-0.38200000000000001</v>
      </c>
      <c r="BD725">
        <v>-0.38200000000000001</v>
      </c>
      <c r="BE725" t="s">
        <v>71</v>
      </c>
    </row>
    <row r="726" spans="1:57">
      <c r="A726">
        <v>3243</v>
      </c>
      <c r="B726" t="s">
        <v>3231</v>
      </c>
      <c r="D726" t="s">
        <v>66</v>
      </c>
      <c r="E726" t="s">
        <v>3232</v>
      </c>
      <c r="F726" t="s">
        <v>3233</v>
      </c>
      <c r="G726">
        <v>79</v>
      </c>
      <c r="H726" t="s">
        <v>63</v>
      </c>
      <c r="I726">
        <v>5</v>
      </c>
      <c r="J726" t="str">
        <f>HYPERLINK("Gene3243-zp_tree_all.dnd", "Gene3243-tree")</f>
        <v>Gene3243-tree</v>
      </c>
      <c r="K726">
        <v>4</v>
      </c>
      <c r="L726">
        <v>1</v>
      </c>
      <c r="M726">
        <v>3</v>
      </c>
      <c r="N726">
        <v>1</v>
      </c>
      <c r="O726">
        <v>0.25</v>
      </c>
      <c r="P726" t="s">
        <v>112</v>
      </c>
      <c r="Q726" t="s">
        <v>65</v>
      </c>
      <c r="R726" t="s">
        <v>66</v>
      </c>
      <c r="S726" t="s">
        <v>66</v>
      </c>
      <c r="T726">
        <v>1</v>
      </c>
      <c r="U726">
        <v>2</v>
      </c>
      <c r="V726">
        <v>2</v>
      </c>
      <c r="W726">
        <v>0.5</v>
      </c>
      <c r="X726">
        <v>0</v>
      </c>
      <c r="Y726">
        <v>0</v>
      </c>
      <c r="Z726">
        <v>0</v>
      </c>
      <c r="AA726">
        <v>3</v>
      </c>
      <c r="AB726">
        <v>0</v>
      </c>
      <c r="AC726">
        <v>0</v>
      </c>
      <c r="AD726">
        <v>0</v>
      </c>
      <c r="AE726">
        <v>0</v>
      </c>
      <c r="AF726">
        <v>1</v>
      </c>
      <c r="AG726">
        <v>0</v>
      </c>
      <c r="AH726">
        <v>3</v>
      </c>
      <c r="AI726">
        <v>1</v>
      </c>
      <c r="AJ726">
        <v>6</v>
      </c>
      <c r="AK726">
        <v>1</v>
      </c>
      <c r="AL726">
        <v>2</v>
      </c>
      <c r="AM726">
        <v>3</v>
      </c>
      <c r="AN726" t="s">
        <v>3234</v>
      </c>
      <c r="AO726" t="s">
        <v>3235</v>
      </c>
      <c r="AP726">
        <v>6.4589999999999996</v>
      </c>
      <c r="AQ726" t="s">
        <v>69</v>
      </c>
      <c r="AR726">
        <v>8</v>
      </c>
      <c r="AS726">
        <v>4</v>
      </c>
      <c r="AT726">
        <v>2.8830000000000001E-2</v>
      </c>
      <c r="AU726">
        <v>-4.81E-3</v>
      </c>
      <c r="AV726">
        <v>9.0660000000000004E-2</v>
      </c>
      <c r="AW726">
        <v>-1.3979999999999999E-2</v>
      </c>
      <c r="AX726">
        <v>1.362E-2</v>
      </c>
      <c r="AY726">
        <v>-2.4599999999999999E-3</v>
      </c>
      <c r="AZ726">
        <v>0.15023</v>
      </c>
      <c r="BA726">
        <v>1</v>
      </c>
      <c r="BB726" t="s">
        <v>70</v>
      </c>
      <c r="BC726">
        <v>0.30099999999999999</v>
      </c>
      <c r="BD726">
        <v>0.30099999999999999</v>
      </c>
      <c r="BE726" t="s">
        <v>71</v>
      </c>
    </row>
    <row r="727" spans="1:57">
      <c r="A727">
        <v>3248</v>
      </c>
      <c r="B727" t="s">
        <v>3238</v>
      </c>
      <c r="D727" t="s">
        <v>66</v>
      </c>
      <c r="E727" t="s">
        <v>3239</v>
      </c>
      <c r="F727" t="s">
        <v>74</v>
      </c>
      <c r="G727">
        <v>69</v>
      </c>
      <c r="H727" t="s">
        <v>63</v>
      </c>
      <c r="I727">
        <v>5</v>
      </c>
      <c r="J727" t="str">
        <f>HYPERLINK("Gene3248-zp_tree_all.dnd", "Gene3248-tree")</f>
        <v>Gene3248-tree</v>
      </c>
      <c r="K727">
        <v>2</v>
      </c>
      <c r="L727">
        <v>3</v>
      </c>
      <c r="M727">
        <v>2</v>
      </c>
      <c r="N727">
        <v>3</v>
      </c>
      <c r="O727">
        <v>0.6</v>
      </c>
      <c r="P727" t="s">
        <v>124</v>
      </c>
      <c r="Q727" t="s">
        <v>86</v>
      </c>
      <c r="R727" t="s">
        <v>66</v>
      </c>
      <c r="S727" t="s">
        <v>66</v>
      </c>
      <c r="T727">
        <v>0</v>
      </c>
      <c r="U727">
        <v>0</v>
      </c>
      <c r="V727">
        <v>4</v>
      </c>
      <c r="W727">
        <v>0</v>
      </c>
      <c r="X727">
        <v>0</v>
      </c>
      <c r="Y727">
        <v>0</v>
      </c>
      <c r="Z727">
        <v>0</v>
      </c>
      <c r="AA727">
        <v>2</v>
      </c>
      <c r="AB727">
        <v>0</v>
      </c>
      <c r="AC727">
        <v>0</v>
      </c>
      <c r="AD727">
        <v>0</v>
      </c>
      <c r="AE727">
        <v>0</v>
      </c>
      <c r="AF727">
        <v>2</v>
      </c>
      <c r="AG727">
        <v>0</v>
      </c>
      <c r="AH727">
        <v>4</v>
      </c>
      <c r="AI727">
        <v>2</v>
      </c>
      <c r="AJ727">
        <v>4</v>
      </c>
      <c r="AK727">
        <v>2</v>
      </c>
      <c r="AL727">
        <v>4</v>
      </c>
      <c r="AM727">
        <v>2</v>
      </c>
      <c r="AN727" t="s">
        <v>3240</v>
      </c>
      <c r="AO727" t="s">
        <v>3241</v>
      </c>
      <c r="AP727">
        <v>0.02</v>
      </c>
      <c r="AQ727" t="s">
        <v>69</v>
      </c>
      <c r="AR727">
        <v>8</v>
      </c>
      <c r="AS727">
        <v>4</v>
      </c>
      <c r="AT727">
        <v>2.8989999999999998E-2</v>
      </c>
      <c r="AU727">
        <v>-4.0400000000000002E-3</v>
      </c>
      <c r="AV727">
        <v>9.6729999999999997E-2</v>
      </c>
      <c r="AW727">
        <v>-1.5709999999999998E-2</v>
      </c>
      <c r="AX727">
        <v>1.2460000000000001E-2</v>
      </c>
      <c r="AY727">
        <v>-1.99E-3</v>
      </c>
      <c r="AZ727">
        <v>0.1288</v>
      </c>
      <c r="BA727">
        <v>1</v>
      </c>
      <c r="BB727" t="s">
        <v>70</v>
      </c>
      <c r="BC727">
        <v>0.30099999999999999</v>
      </c>
      <c r="BD727">
        <v>0.30099999999999999</v>
      </c>
      <c r="BE727" t="s">
        <v>71</v>
      </c>
    </row>
    <row r="728" spans="1:57">
      <c r="A728">
        <v>3262</v>
      </c>
      <c r="B728" t="s">
        <v>3246</v>
      </c>
      <c r="D728" t="s">
        <v>66</v>
      </c>
      <c r="E728" t="s">
        <v>3247</v>
      </c>
      <c r="F728" t="s">
        <v>74</v>
      </c>
      <c r="G728">
        <v>47</v>
      </c>
      <c r="H728" t="s">
        <v>63</v>
      </c>
      <c r="I728">
        <v>5</v>
      </c>
      <c r="J728" t="str">
        <f>HYPERLINK("Gene3262-zp_tree_all.dnd", "Gene3262-tree")</f>
        <v>Gene3262-tree</v>
      </c>
      <c r="K728">
        <v>1</v>
      </c>
      <c r="L728">
        <v>4</v>
      </c>
      <c r="M728">
        <v>1</v>
      </c>
      <c r="N728">
        <v>3</v>
      </c>
      <c r="O728">
        <v>0.75</v>
      </c>
      <c r="P728" t="s">
        <v>65</v>
      </c>
      <c r="Q728" t="s">
        <v>112</v>
      </c>
      <c r="R728">
        <v>5</v>
      </c>
      <c r="S728" t="s">
        <v>239</v>
      </c>
      <c r="T728">
        <v>0</v>
      </c>
      <c r="U728">
        <v>0</v>
      </c>
      <c r="V728">
        <v>3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3</v>
      </c>
      <c r="AG728">
        <v>0</v>
      </c>
      <c r="AH728">
        <v>3</v>
      </c>
      <c r="AI728">
        <v>1</v>
      </c>
      <c r="AJ728">
        <v>7</v>
      </c>
      <c r="AK728">
        <v>3</v>
      </c>
      <c r="AL728">
        <v>1</v>
      </c>
      <c r="AM728">
        <v>0</v>
      </c>
      <c r="AN728" t="s">
        <v>3248</v>
      </c>
      <c r="AO728" t="s">
        <v>68</v>
      </c>
      <c r="AP728">
        <v>5.5309999999999997</v>
      </c>
      <c r="AQ728" t="s">
        <v>239</v>
      </c>
      <c r="AR728">
        <v>8</v>
      </c>
      <c r="AS728">
        <v>3</v>
      </c>
      <c r="AT728">
        <v>3.7830000000000003E-2</v>
      </c>
      <c r="AU728">
        <v>-6.4000000000000003E-3</v>
      </c>
      <c r="AV728">
        <v>0.12776000000000001</v>
      </c>
      <c r="AW728">
        <v>-2.8760000000000001E-2</v>
      </c>
      <c r="AX728">
        <v>1.409E-2</v>
      </c>
      <c r="AY728">
        <v>-1.9300000000000001E-3</v>
      </c>
      <c r="AZ728">
        <v>0.11028</v>
      </c>
      <c r="BA728">
        <v>1</v>
      </c>
      <c r="BB728" t="s">
        <v>70</v>
      </c>
      <c r="BC728">
        <v>0.89400000000000002</v>
      </c>
      <c r="BD728">
        <v>0.89400000000000002</v>
      </c>
      <c r="BE728" t="s">
        <v>71</v>
      </c>
    </row>
    <row r="729" spans="1:57">
      <c r="A729">
        <v>3271</v>
      </c>
      <c r="B729" t="s">
        <v>3263</v>
      </c>
      <c r="D729" t="s">
        <v>66</v>
      </c>
      <c r="E729" t="s">
        <v>3264</v>
      </c>
      <c r="F729" t="s">
        <v>3265</v>
      </c>
      <c r="G729">
        <v>404</v>
      </c>
      <c r="H729" t="s">
        <v>106</v>
      </c>
      <c r="I729">
        <v>4</v>
      </c>
      <c r="J729" t="str">
        <f>HYPERLINK("Gene3271-zp_tree_all.dnd", "Gene3271-tree")</f>
        <v>Gene3271-tree</v>
      </c>
      <c r="K729">
        <v>2</v>
      </c>
      <c r="L729">
        <v>2</v>
      </c>
      <c r="M729">
        <v>2</v>
      </c>
      <c r="N729">
        <v>2</v>
      </c>
      <c r="O729">
        <v>0.5</v>
      </c>
      <c r="P729" t="s">
        <v>124</v>
      </c>
      <c r="Q729" t="s">
        <v>124</v>
      </c>
      <c r="R729" t="s">
        <v>66</v>
      </c>
      <c r="S729" t="s">
        <v>66</v>
      </c>
      <c r="T729">
        <v>0</v>
      </c>
      <c r="U729">
        <v>0</v>
      </c>
      <c r="V729">
        <v>6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6</v>
      </c>
      <c r="AG729">
        <v>0</v>
      </c>
      <c r="AH729">
        <v>4</v>
      </c>
      <c r="AI729">
        <v>1</v>
      </c>
      <c r="AJ729">
        <v>62</v>
      </c>
      <c r="AK729">
        <v>6</v>
      </c>
      <c r="AL729">
        <v>1</v>
      </c>
      <c r="AM729">
        <v>0</v>
      </c>
      <c r="AN729" t="s">
        <v>3266</v>
      </c>
      <c r="AO729" t="s">
        <v>68</v>
      </c>
      <c r="AP729">
        <v>0.56299999999999994</v>
      </c>
      <c r="AQ729" t="s">
        <v>69</v>
      </c>
      <c r="AR729">
        <v>63</v>
      </c>
      <c r="AS729">
        <v>6</v>
      </c>
      <c r="AT729">
        <v>2.8049999999999999E-2</v>
      </c>
      <c r="AU729">
        <v>-8.5400000000000007E-3</v>
      </c>
      <c r="AV729">
        <v>0.11405</v>
      </c>
      <c r="AW729">
        <v>-3.5709999999999999E-2</v>
      </c>
      <c r="AX729">
        <v>3.32E-3</v>
      </c>
      <c r="AY729">
        <v>-1.08E-3</v>
      </c>
      <c r="AZ729">
        <v>2.913E-2</v>
      </c>
      <c r="BA729">
        <v>1</v>
      </c>
      <c r="BB729" t="s">
        <v>70</v>
      </c>
      <c r="BC729">
        <v>-0.72699999999999998</v>
      </c>
      <c r="BD729">
        <v>-0.72699999999999998</v>
      </c>
      <c r="BE729" t="s">
        <v>71</v>
      </c>
    </row>
    <row r="730" spans="1:57">
      <c r="A730">
        <v>3272</v>
      </c>
      <c r="B730" t="s">
        <v>3267</v>
      </c>
      <c r="D730" t="s">
        <v>66</v>
      </c>
      <c r="E730" t="s">
        <v>3268</v>
      </c>
      <c r="F730" t="s">
        <v>74</v>
      </c>
      <c r="G730">
        <v>78</v>
      </c>
      <c r="H730" t="s">
        <v>63</v>
      </c>
      <c r="I730">
        <v>5</v>
      </c>
      <c r="J730" t="str">
        <f>HYPERLINK("Gene3272-zp_tree_all.dnd", "Gene3272-tree")</f>
        <v>Gene3272-tree</v>
      </c>
      <c r="K730">
        <v>5</v>
      </c>
      <c r="L730">
        <v>0</v>
      </c>
      <c r="M730">
        <v>4</v>
      </c>
      <c r="N730">
        <v>0</v>
      </c>
      <c r="O730">
        <v>0</v>
      </c>
      <c r="P730" t="s">
        <v>135</v>
      </c>
      <c r="Q730" t="s">
        <v>66</v>
      </c>
      <c r="R730" t="s">
        <v>66</v>
      </c>
      <c r="S730" t="s">
        <v>66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3</v>
      </c>
      <c r="AI730">
        <v>0</v>
      </c>
      <c r="AJ730">
        <v>9</v>
      </c>
      <c r="AK730">
        <v>0</v>
      </c>
      <c r="AL730">
        <v>0</v>
      </c>
      <c r="AM730">
        <v>0</v>
      </c>
      <c r="AN730" t="s">
        <v>68</v>
      </c>
      <c r="AO730" t="s">
        <v>68</v>
      </c>
      <c r="AP730">
        <v>0</v>
      </c>
      <c r="AQ730" t="s">
        <v>69</v>
      </c>
      <c r="AR730">
        <v>9</v>
      </c>
      <c r="AS730">
        <v>0</v>
      </c>
      <c r="AT730">
        <v>1.9230000000000001E-2</v>
      </c>
      <c r="AU730">
        <v>-4.5900000000000003E-3</v>
      </c>
      <c r="AV730">
        <v>9.7549999999999998E-2</v>
      </c>
      <c r="AW730">
        <v>-2.4289999999999999E-2</v>
      </c>
      <c r="AX730">
        <v>0</v>
      </c>
      <c r="AY730">
        <v>0</v>
      </c>
      <c r="AZ730">
        <v>0</v>
      </c>
      <c r="BA730">
        <v>1</v>
      </c>
      <c r="BB730" t="s">
        <v>70</v>
      </c>
      <c r="BC730">
        <v>0.79</v>
      </c>
      <c r="BD730">
        <v>0.79</v>
      </c>
      <c r="BE730" t="s">
        <v>71</v>
      </c>
    </row>
    <row r="731" spans="1:57">
      <c r="A731">
        <v>3284</v>
      </c>
      <c r="B731" t="s">
        <v>3289</v>
      </c>
      <c r="D731" t="s">
        <v>66</v>
      </c>
      <c r="E731" t="s">
        <v>3290</v>
      </c>
      <c r="F731" t="s">
        <v>74</v>
      </c>
      <c r="G731">
        <v>91</v>
      </c>
      <c r="H731" t="s">
        <v>63</v>
      </c>
      <c r="I731">
        <v>5</v>
      </c>
      <c r="J731" t="str">
        <f>HYPERLINK("Gene3284-zp_tree_all.dnd", "Gene3284-tree")</f>
        <v>Gene3284-tree</v>
      </c>
      <c r="K731">
        <v>4</v>
      </c>
      <c r="L731">
        <v>1</v>
      </c>
      <c r="M731">
        <v>3</v>
      </c>
      <c r="N731">
        <v>1</v>
      </c>
      <c r="O731">
        <v>0.25</v>
      </c>
      <c r="P731" t="s">
        <v>112</v>
      </c>
      <c r="Q731" t="s">
        <v>65</v>
      </c>
      <c r="R731" t="s">
        <v>66</v>
      </c>
      <c r="S731" t="s">
        <v>66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0</v>
      </c>
      <c r="AH731">
        <v>3</v>
      </c>
      <c r="AI731">
        <v>1</v>
      </c>
      <c r="AJ731">
        <v>5</v>
      </c>
      <c r="AK731">
        <v>1</v>
      </c>
      <c r="AL731">
        <v>4</v>
      </c>
      <c r="AM731">
        <v>1</v>
      </c>
      <c r="AN731" t="s">
        <v>3291</v>
      </c>
      <c r="AO731" t="s">
        <v>3292</v>
      </c>
      <c r="AP731">
        <v>0.17799999999999999</v>
      </c>
      <c r="AQ731" t="s">
        <v>69</v>
      </c>
      <c r="AR731">
        <v>9</v>
      </c>
      <c r="AS731">
        <v>2</v>
      </c>
      <c r="AT731">
        <v>2.198E-2</v>
      </c>
      <c r="AU731">
        <v>-3.8600000000000001E-3</v>
      </c>
      <c r="AV731">
        <v>9.5920000000000005E-2</v>
      </c>
      <c r="AW731">
        <v>-1.626E-2</v>
      </c>
      <c r="AX731">
        <v>5.3600000000000002E-3</v>
      </c>
      <c r="AY731">
        <v>-9.3000000000000005E-4</v>
      </c>
      <c r="AZ731">
        <v>5.5870000000000003E-2</v>
      </c>
      <c r="BA731">
        <v>1</v>
      </c>
      <c r="BB731" t="s">
        <v>70</v>
      </c>
      <c r="BC731">
        <v>0.59599999999999997</v>
      </c>
      <c r="BD731">
        <v>0.59599999999999997</v>
      </c>
      <c r="BE731" t="s">
        <v>71</v>
      </c>
    </row>
    <row r="732" spans="1:57">
      <c r="A732">
        <v>3286</v>
      </c>
      <c r="B732" t="s">
        <v>3293</v>
      </c>
      <c r="D732" t="s">
        <v>66</v>
      </c>
      <c r="E732" t="s">
        <v>3294</v>
      </c>
      <c r="F732" t="s">
        <v>3295</v>
      </c>
      <c r="G732">
        <v>298</v>
      </c>
      <c r="H732" t="s">
        <v>63</v>
      </c>
      <c r="I732">
        <v>5</v>
      </c>
      <c r="J732" t="str">
        <f>HYPERLINK("Gene3286-zp_tree_all.dnd", "Gene3286-tree")</f>
        <v>Gene3286-tree</v>
      </c>
      <c r="K732">
        <v>5</v>
      </c>
      <c r="L732">
        <v>0</v>
      </c>
      <c r="M732">
        <v>5</v>
      </c>
      <c r="N732">
        <v>0</v>
      </c>
      <c r="O732">
        <v>0</v>
      </c>
      <c r="P732" t="s">
        <v>96</v>
      </c>
      <c r="Q732" t="s">
        <v>66</v>
      </c>
      <c r="R732" t="s">
        <v>66</v>
      </c>
      <c r="S732" t="s">
        <v>66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5</v>
      </c>
      <c r="AI732">
        <v>2</v>
      </c>
      <c r="AJ732">
        <v>42</v>
      </c>
      <c r="AK732">
        <v>0</v>
      </c>
      <c r="AL732">
        <v>24</v>
      </c>
      <c r="AM732">
        <v>0</v>
      </c>
      <c r="AN732" t="s">
        <v>68</v>
      </c>
      <c r="AO732" t="s">
        <v>68</v>
      </c>
      <c r="AP732">
        <v>0</v>
      </c>
      <c r="AQ732" t="s">
        <v>69</v>
      </c>
      <c r="AR732">
        <v>66</v>
      </c>
      <c r="AS732">
        <v>0</v>
      </c>
      <c r="AT732">
        <v>3.322E-2</v>
      </c>
      <c r="AU732">
        <v>-4.2900000000000004E-3</v>
      </c>
      <c r="AV732">
        <v>0.1686</v>
      </c>
      <c r="AW732">
        <v>-2.358E-2</v>
      </c>
      <c r="AX732">
        <v>0</v>
      </c>
      <c r="AY732">
        <v>0</v>
      </c>
      <c r="AZ732">
        <v>0</v>
      </c>
      <c r="BA732">
        <v>1</v>
      </c>
      <c r="BB732" t="s">
        <v>70</v>
      </c>
      <c r="BC732">
        <v>0.36899999999999999</v>
      </c>
      <c r="BD732">
        <v>0.23499999999999999</v>
      </c>
      <c r="BE732" t="s">
        <v>71</v>
      </c>
    </row>
    <row r="733" spans="1:57">
      <c r="A733">
        <v>3292</v>
      </c>
      <c r="B733" t="s">
        <v>3296</v>
      </c>
      <c r="D733" t="s">
        <v>66</v>
      </c>
      <c r="E733" t="s">
        <v>3297</v>
      </c>
      <c r="F733" t="s">
        <v>74</v>
      </c>
      <c r="G733">
        <v>282</v>
      </c>
      <c r="H733" t="s">
        <v>63</v>
      </c>
      <c r="I733">
        <v>5</v>
      </c>
      <c r="J733" t="str">
        <f>HYPERLINK("Gene3292-zp_tree_all.dnd", "Gene3292-tree")</f>
        <v>Gene3292-tree</v>
      </c>
      <c r="K733">
        <v>3</v>
      </c>
      <c r="L733">
        <v>2</v>
      </c>
      <c r="M733">
        <v>3</v>
      </c>
      <c r="N733">
        <v>2</v>
      </c>
      <c r="O733">
        <v>0.4</v>
      </c>
      <c r="P733" t="s">
        <v>86</v>
      </c>
      <c r="Q733" t="s">
        <v>124</v>
      </c>
      <c r="R733" t="s">
        <v>66</v>
      </c>
      <c r="S733" t="s">
        <v>66</v>
      </c>
      <c r="T733">
        <v>0</v>
      </c>
      <c r="U733">
        <v>0</v>
      </c>
      <c r="V733">
        <v>4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4</v>
      </c>
      <c r="AG733">
        <v>0</v>
      </c>
      <c r="AH733">
        <v>5</v>
      </c>
      <c r="AI733">
        <v>2</v>
      </c>
      <c r="AJ733">
        <v>24</v>
      </c>
      <c r="AK733">
        <v>3</v>
      </c>
      <c r="AL733">
        <v>19</v>
      </c>
      <c r="AM733">
        <v>1</v>
      </c>
      <c r="AN733" t="s">
        <v>3298</v>
      </c>
      <c r="AO733" t="s">
        <v>3299</v>
      </c>
      <c r="AP733">
        <v>0.55900000000000005</v>
      </c>
      <c r="AQ733" t="s">
        <v>69</v>
      </c>
      <c r="AR733">
        <v>43</v>
      </c>
      <c r="AS733">
        <v>4</v>
      </c>
      <c r="AT733">
        <v>2.5999999999999999E-2</v>
      </c>
      <c r="AU733">
        <v>-3.2699999999999999E-3</v>
      </c>
      <c r="AV733">
        <v>0.12633</v>
      </c>
      <c r="AW733">
        <v>-1.7160000000000002E-2</v>
      </c>
      <c r="AX733">
        <v>2.8400000000000001E-3</v>
      </c>
      <c r="AY733">
        <v>-5.4000000000000001E-4</v>
      </c>
      <c r="AZ733">
        <v>2.249E-2</v>
      </c>
      <c r="BA733">
        <v>1</v>
      </c>
      <c r="BB733" t="s">
        <v>70</v>
      </c>
      <c r="BC733">
        <v>0.314</v>
      </c>
      <c r="BD733">
        <v>-0.185</v>
      </c>
      <c r="BE733" t="s">
        <v>71</v>
      </c>
    </row>
    <row r="734" spans="1:57">
      <c r="A734">
        <v>3312</v>
      </c>
      <c r="B734" t="s">
        <v>3300</v>
      </c>
      <c r="D734" t="s">
        <v>66</v>
      </c>
      <c r="E734" t="s">
        <v>3301</v>
      </c>
      <c r="F734" t="s">
        <v>657</v>
      </c>
      <c r="G734">
        <v>300</v>
      </c>
      <c r="H734" t="s">
        <v>63</v>
      </c>
      <c r="I734">
        <v>5</v>
      </c>
      <c r="J734" t="str">
        <f>HYPERLINK("Gene3312-zp_tree_all.dnd", "Gene3312-tree")</f>
        <v>Gene3312-tree</v>
      </c>
      <c r="K734">
        <v>2</v>
      </c>
      <c r="L734">
        <v>3</v>
      </c>
      <c r="M734">
        <v>2</v>
      </c>
      <c r="N734">
        <v>3</v>
      </c>
      <c r="O734">
        <v>0.6</v>
      </c>
      <c r="P734" t="s">
        <v>124</v>
      </c>
      <c r="Q734" t="s">
        <v>86</v>
      </c>
      <c r="R734" t="s">
        <v>66</v>
      </c>
      <c r="S734" t="s">
        <v>66</v>
      </c>
      <c r="T734">
        <v>0</v>
      </c>
      <c r="U734">
        <v>0</v>
      </c>
      <c r="V734">
        <v>8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8</v>
      </c>
      <c r="AG734">
        <v>0</v>
      </c>
      <c r="AH734">
        <v>4</v>
      </c>
      <c r="AI734">
        <v>2</v>
      </c>
      <c r="AJ734">
        <v>22</v>
      </c>
      <c r="AK734">
        <v>7</v>
      </c>
      <c r="AL734">
        <v>31</v>
      </c>
      <c r="AM734">
        <v>3</v>
      </c>
      <c r="AN734" t="s">
        <v>3302</v>
      </c>
      <c r="AO734" t="s">
        <v>3303</v>
      </c>
      <c r="AP734">
        <v>1.8109999999999999</v>
      </c>
      <c r="AQ734" t="s">
        <v>69</v>
      </c>
      <c r="AR734">
        <v>53</v>
      </c>
      <c r="AS734">
        <v>10</v>
      </c>
      <c r="AT734">
        <v>3.422E-2</v>
      </c>
      <c r="AU734">
        <v>-5.4299999999999999E-3</v>
      </c>
      <c r="AV734">
        <v>0.13938</v>
      </c>
      <c r="AW734">
        <v>-2.4080000000000001E-2</v>
      </c>
      <c r="AX734">
        <v>6.7200000000000003E-3</v>
      </c>
      <c r="AY734">
        <v>-1.0399999999999999E-3</v>
      </c>
      <c r="AZ734">
        <v>4.8189999999999997E-2</v>
      </c>
      <c r="BA734">
        <v>1</v>
      </c>
      <c r="BB734" t="s">
        <v>70</v>
      </c>
      <c r="BC734">
        <v>0.52500000000000002</v>
      </c>
      <c r="BD734">
        <v>0.42</v>
      </c>
      <c r="BE734" t="s">
        <v>71</v>
      </c>
    </row>
    <row r="735" spans="1:57">
      <c r="A735">
        <v>3313</v>
      </c>
      <c r="B735" t="s">
        <v>3304</v>
      </c>
      <c r="D735" t="s">
        <v>66</v>
      </c>
      <c r="E735" t="s">
        <v>3305</v>
      </c>
      <c r="F735" t="s">
        <v>657</v>
      </c>
      <c r="G735">
        <v>292</v>
      </c>
      <c r="H735" t="s">
        <v>63</v>
      </c>
      <c r="I735">
        <v>5</v>
      </c>
      <c r="J735" t="str">
        <f>HYPERLINK("Gene3313-zp_tree_all.dnd", "Gene3313-tree")</f>
        <v>Gene3313-tree</v>
      </c>
      <c r="K735">
        <v>4</v>
      </c>
      <c r="L735">
        <v>1</v>
      </c>
      <c r="M735">
        <v>4</v>
      </c>
      <c r="N735">
        <v>1</v>
      </c>
      <c r="O735">
        <v>0.2</v>
      </c>
      <c r="P735" t="s">
        <v>64</v>
      </c>
      <c r="Q735" t="s">
        <v>65</v>
      </c>
      <c r="R735" t="s">
        <v>66</v>
      </c>
      <c r="S735" t="s">
        <v>66</v>
      </c>
      <c r="T735">
        <v>0</v>
      </c>
      <c r="U735">
        <v>0</v>
      </c>
      <c r="V735">
        <v>3</v>
      </c>
      <c r="W735">
        <v>0</v>
      </c>
      <c r="X735">
        <v>0</v>
      </c>
      <c r="Y735">
        <v>0</v>
      </c>
      <c r="Z735">
        <v>0</v>
      </c>
      <c r="AA735">
        <v>2</v>
      </c>
      <c r="AB735">
        <v>0</v>
      </c>
      <c r="AC735">
        <v>0</v>
      </c>
      <c r="AD735">
        <v>0</v>
      </c>
      <c r="AE735">
        <v>0</v>
      </c>
      <c r="AF735">
        <v>1</v>
      </c>
      <c r="AG735">
        <v>0</v>
      </c>
      <c r="AH735">
        <v>5</v>
      </c>
      <c r="AI735">
        <v>2</v>
      </c>
      <c r="AJ735">
        <v>17</v>
      </c>
      <c r="AK735">
        <v>1</v>
      </c>
      <c r="AL735">
        <v>29</v>
      </c>
      <c r="AM735">
        <v>2</v>
      </c>
      <c r="AN735" t="s">
        <v>3306</v>
      </c>
      <c r="AO735" t="s">
        <v>3307</v>
      </c>
      <c r="AP735">
        <v>4.1000000000000002E-2</v>
      </c>
      <c r="AQ735" t="s">
        <v>69</v>
      </c>
      <c r="AR735">
        <v>46</v>
      </c>
      <c r="AS735">
        <v>3</v>
      </c>
      <c r="AT735">
        <v>2.877E-2</v>
      </c>
      <c r="AU735">
        <v>-5.1799999999999997E-3</v>
      </c>
      <c r="AV735">
        <v>0.12845000000000001</v>
      </c>
      <c r="AW735">
        <v>-2.4060000000000002E-2</v>
      </c>
      <c r="AX735">
        <v>2.3900000000000002E-3</v>
      </c>
      <c r="AY735">
        <v>-4.2000000000000002E-4</v>
      </c>
      <c r="AZ735">
        <v>1.8620000000000001E-2</v>
      </c>
      <c r="BA735">
        <v>1</v>
      </c>
      <c r="BB735" t="s">
        <v>70</v>
      </c>
      <c r="BC735">
        <v>0.88200000000000001</v>
      </c>
      <c r="BD735">
        <v>0.749</v>
      </c>
      <c r="BE735" t="s">
        <v>71</v>
      </c>
    </row>
    <row r="736" spans="1:57">
      <c r="A736">
        <v>3322</v>
      </c>
      <c r="B736" t="s">
        <v>3313</v>
      </c>
      <c r="D736" t="s">
        <v>66</v>
      </c>
      <c r="E736" t="s">
        <v>3314</v>
      </c>
      <c r="F736" t="s">
        <v>3315</v>
      </c>
      <c r="G736">
        <v>465</v>
      </c>
      <c r="H736" t="s">
        <v>63</v>
      </c>
      <c r="I736">
        <v>5</v>
      </c>
      <c r="J736" t="str">
        <f>HYPERLINK("Gene3322-zp_tree_all.dnd", "Gene3322-tree")</f>
        <v>Gene3322-tree</v>
      </c>
      <c r="K736">
        <v>4</v>
      </c>
      <c r="L736">
        <v>1</v>
      </c>
      <c r="M736">
        <v>4</v>
      </c>
      <c r="N736">
        <v>1</v>
      </c>
      <c r="O736">
        <v>0.2</v>
      </c>
      <c r="P736" t="s">
        <v>64</v>
      </c>
      <c r="Q736" t="s">
        <v>65</v>
      </c>
      <c r="R736" t="s">
        <v>66</v>
      </c>
      <c r="S736" t="s">
        <v>66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5</v>
      </c>
      <c r="AI736">
        <v>2</v>
      </c>
      <c r="AJ736">
        <v>30</v>
      </c>
      <c r="AK736">
        <v>1</v>
      </c>
      <c r="AL736">
        <v>16</v>
      </c>
      <c r="AM736">
        <v>0</v>
      </c>
      <c r="AN736" t="s">
        <v>3316</v>
      </c>
      <c r="AO736" t="s">
        <v>68</v>
      </c>
      <c r="AP736">
        <v>0.53800000000000003</v>
      </c>
      <c r="AQ736" t="s">
        <v>69</v>
      </c>
      <c r="AR736">
        <v>46</v>
      </c>
      <c r="AS736">
        <v>1</v>
      </c>
      <c r="AT736">
        <v>1.555E-2</v>
      </c>
      <c r="AU736">
        <v>-1.5499999999999999E-3</v>
      </c>
      <c r="AV736">
        <v>7.2929999999999995E-2</v>
      </c>
      <c r="AW736">
        <v>-7.4700000000000001E-3</v>
      </c>
      <c r="AX736">
        <v>3.6999999999999999E-4</v>
      </c>
      <c r="AY736">
        <v>-1.3999999999999999E-4</v>
      </c>
      <c r="AZ736">
        <v>5.0699999999999999E-3</v>
      </c>
      <c r="BA736">
        <v>1</v>
      </c>
      <c r="BB736" t="s">
        <v>70</v>
      </c>
      <c r="BC736">
        <v>-0.16400000000000001</v>
      </c>
      <c r="BD736">
        <v>-0.187</v>
      </c>
      <c r="BE736" t="s">
        <v>71</v>
      </c>
    </row>
    <row r="737" spans="1:57">
      <c r="A737">
        <v>3323</v>
      </c>
      <c r="B737" t="s">
        <v>3317</v>
      </c>
      <c r="D737" t="s">
        <v>66</v>
      </c>
      <c r="E737" t="s">
        <v>3318</v>
      </c>
      <c r="F737" t="s">
        <v>3319</v>
      </c>
      <c r="G737">
        <v>147</v>
      </c>
      <c r="H737" t="s">
        <v>63</v>
      </c>
      <c r="I737">
        <v>5</v>
      </c>
      <c r="J737" t="str">
        <f>HYPERLINK("Gene3323-zp_tree_all.dnd", "Gene3323-tree")</f>
        <v>Gene3323-tree</v>
      </c>
      <c r="K737">
        <v>5</v>
      </c>
      <c r="L737">
        <v>0</v>
      </c>
      <c r="M737">
        <v>5</v>
      </c>
      <c r="N737">
        <v>0</v>
      </c>
      <c r="O737">
        <v>0</v>
      </c>
      <c r="P737" t="s">
        <v>96</v>
      </c>
      <c r="Q737" t="s">
        <v>66</v>
      </c>
      <c r="R737" t="s">
        <v>66</v>
      </c>
      <c r="S737" t="s">
        <v>66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3</v>
      </c>
      <c r="AI737">
        <v>2</v>
      </c>
      <c r="AJ737">
        <v>6</v>
      </c>
      <c r="AK737">
        <v>0</v>
      </c>
      <c r="AL737">
        <v>9</v>
      </c>
      <c r="AM737">
        <v>0</v>
      </c>
      <c r="AN737" t="s">
        <v>68</v>
      </c>
      <c r="AO737" t="s">
        <v>68</v>
      </c>
      <c r="AP737">
        <v>0</v>
      </c>
      <c r="AQ737" t="s">
        <v>69</v>
      </c>
      <c r="AR737">
        <v>15</v>
      </c>
      <c r="AS737">
        <v>0</v>
      </c>
      <c r="AT737">
        <v>1.7690000000000001E-2</v>
      </c>
      <c r="AU737">
        <v>-2.8600000000000001E-3</v>
      </c>
      <c r="AV737">
        <v>9.0020000000000003E-2</v>
      </c>
      <c r="AW737">
        <v>-1.5259999999999999E-2</v>
      </c>
      <c r="AX737">
        <v>0</v>
      </c>
      <c r="AY737">
        <v>0</v>
      </c>
      <c r="AZ737">
        <v>0</v>
      </c>
      <c r="BA737">
        <v>1</v>
      </c>
      <c r="BB737" t="s">
        <v>70</v>
      </c>
      <c r="BC737">
        <v>0.60899999999999999</v>
      </c>
      <c r="BD737">
        <v>0.60899999999999999</v>
      </c>
      <c r="BE737" t="s">
        <v>71</v>
      </c>
    </row>
    <row r="738" spans="1:57">
      <c r="A738">
        <v>3324</v>
      </c>
      <c r="B738" t="s">
        <v>3320</v>
      </c>
      <c r="D738" t="s">
        <v>66</v>
      </c>
      <c r="E738" t="s">
        <v>3321</v>
      </c>
      <c r="F738" t="s">
        <v>3322</v>
      </c>
      <c r="G738">
        <v>406</v>
      </c>
      <c r="H738" t="s">
        <v>63</v>
      </c>
      <c r="I738">
        <v>5</v>
      </c>
      <c r="J738" t="str">
        <f>HYPERLINK("Gene3324-zp_tree_all.dnd", "Gene3324-tree")</f>
        <v>Gene3324-tree</v>
      </c>
      <c r="K738">
        <v>2</v>
      </c>
      <c r="L738">
        <v>3</v>
      </c>
      <c r="M738">
        <v>2</v>
      </c>
      <c r="N738">
        <v>3</v>
      </c>
      <c r="O738">
        <v>0.6</v>
      </c>
      <c r="P738" t="s">
        <v>124</v>
      </c>
      <c r="Q738" t="s">
        <v>86</v>
      </c>
      <c r="R738" t="s">
        <v>66</v>
      </c>
      <c r="S738" t="s">
        <v>66</v>
      </c>
      <c r="T738">
        <v>0</v>
      </c>
      <c r="U738">
        <v>0</v>
      </c>
      <c r="V738">
        <v>8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8</v>
      </c>
      <c r="AG738">
        <v>0</v>
      </c>
      <c r="AH738">
        <v>5</v>
      </c>
      <c r="AI738">
        <v>2</v>
      </c>
      <c r="AJ738">
        <v>27</v>
      </c>
      <c r="AK738">
        <v>4</v>
      </c>
      <c r="AL738">
        <v>26</v>
      </c>
      <c r="AM738">
        <v>4</v>
      </c>
      <c r="AN738" t="s">
        <v>3323</v>
      </c>
      <c r="AO738" t="s">
        <v>3324</v>
      </c>
      <c r="AP738">
        <v>4.0000000000000001E-3</v>
      </c>
      <c r="AQ738" t="s">
        <v>69</v>
      </c>
      <c r="AR738">
        <v>53</v>
      </c>
      <c r="AS738">
        <v>8</v>
      </c>
      <c r="AT738">
        <v>2.479E-2</v>
      </c>
      <c r="AU738">
        <v>-4.0699999999999998E-3</v>
      </c>
      <c r="AV738">
        <v>9.9559999999999996E-2</v>
      </c>
      <c r="AW738">
        <v>-1.67E-2</v>
      </c>
      <c r="AX738">
        <v>4.3099999999999996E-3</v>
      </c>
      <c r="AY738">
        <v>-8.1999999999999998E-4</v>
      </c>
      <c r="AZ738">
        <v>4.3279999999999999E-2</v>
      </c>
      <c r="BA738">
        <v>1</v>
      </c>
      <c r="BB738" t="s">
        <v>70</v>
      </c>
      <c r="BC738">
        <v>0.36799999999999999</v>
      </c>
      <c r="BD738">
        <v>0.36799999999999999</v>
      </c>
      <c r="BE738" t="s">
        <v>71</v>
      </c>
    </row>
    <row r="739" spans="1:57">
      <c r="A739">
        <v>3325</v>
      </c>
      <c r="B739" t="s">
        <v>3325</v>
      </c>
      <c r="D739" t="s">
        <v>66</v>
      </c>
      <c r="E739" t="s">
        <v>3326</v>
      </c>
      <c r="F739" t="s">
        <v>3327</v>
      </c>
      <c r="G739">
        <v>437</v>
      </c>
      <c r="H739" t="s">
        <v>63</v>
      </c>
      <c r="I739">
        <v>5</v>
      </c>
      <c r="J739" t="str">
        <f>HYPERLINK("Gene3325-zp_tree_all.dnd", "Gene3325-tree")</f>
        <v>Gene3325-tree</v>
      </c>
      <c r="K739">
        <v>2</v>
      </c>
      <c r="L739">
        <v>3</v>
      </c>
      <c r="M739">
        <v>2</v>
      </c>
      <c r="N739">
        <v>3</v>
      </c>
      <c r="O739">
        <v>0.6</v>
      </c>
      <c r="P739" t="s">
        <v>124</v>
      </c>
      <c r="Q739" t="s">
        <v>86</v>
      </c>
      <c r="R739" t="s">
        <v>66</v>
      </c>
      <c r="S739" t="s">
        <v>66</v>
      </c>
      <c r="T739">
        <v>2</v>
      </c>
      <c r="U739">
        <v>4</v>
      </c>
      <c r="V739">
        <v>3</v>
      </c>
      <c r="W739">
        <v>0.57142999999999999</v>
      </c>
      <c r="X739">
        <v>0</v>
      </c>
      <c r="Y739">
        <v>0</v>
      </c>
      <c r="Z739">
        <v>0</v>
      </c>
      <c r="AA739">
        <v>3</v>
      </c>
      <c r="AB739">
        <v>0</v>
      </c>
      <c r="AC739">
        <v>0</v>
      </c>
      <c r="AD739">
        <v>2</v>
      </c>
      <c r="AE739">
        <v>2</v>
      </c>
      <c r="AF739">
        <v>2</v>
      </c>
      <c r="AG739">
        <v>0.5</v>
      </c>
      <c r="AH739">
        <v>5</v>
      </c>
      <c r="AI739">
        <v>2</v>
      </c>
      <c r="AJ739">
        <v>31</v>
      </c>
      <c r="AK739">
        <v>4</v>
      </c>
      <c r="AL739">
        <v>28</v>
      </c>
      <c r="AM739">
        <v>3</v>
      </c>
      <c r="AN739" t="s">
        <v>3328</v>
      </c>
      <c r="AO739" t="s">
        <v>3329</v>
      </c>
      <c r="AP739">
        <v>0.17199999999999999</v>
      </c>
      <c r="AQ739" t="s">
        <v>69</v>
      </c>
      <c r="AR739">
        <v>59</v>
      </c>
      <c r="AS739">
        <v>7</v>
      </c>
      <c r="AT739">
        <v>2.41E-2</v>
      </c>
      <c r="AU739">
        <v>-3.81E-3</v>
      </c>
      <c r="AV739">
        <v>0.10228</v>
      </c>
      <c r="AW739">
        <v>-1.7399999999999999E-2</v>
      </c>
      <c r="AX739">
        <v>2.8900000000000002E-3</v>
      </c>
      <c r="AY739">
        <v>-3.6000000000000002E-4</v>
      </c>
      <c r="AZ739">
        <v>2.827E-2</v>
      </c>
      <c r="BA739">
        <v>1</v>
      </c>
      <c r="BB739" t="s">
        <v>70</v>
      </c>
      <c r="BC739">
        <v>0.46800000000000003</v>
      </c>
      <c r="BD739">
        <v>0.214</v>
      </c>
      <c r="BE739" t="s">
        <v>71</v>
      </c>
    </row>
    <row r="740" spans="1:57">
      <c r="A740">
        <v>3326</v>
      </c>
      <c r="B740" t="s">
        <v>3330</v>
      </c>
      <c r="D740" t="s">
        <v>66</v>
      </c>
      <c r="E740" t="s">
        <v>3331</v>
      </c>
      <c r="F740" t="s">
        <v>560</v>
      </c>
      <c r="G740">
        <v>261</v>
      </c>
      <c r="H740" t="s">
        <v>63</v>
      </c>
      <c r="I740">
        <v>5</v>
      </c>
      <c r="J740" t="str">
        <f>HYPERLINK("Gene3326-zp_tree_all.dnd", "Gene3326-tree")</f>
        <v>Gene3326-tree</v>
      </c>
      <c r="K740">
        <v>3</v>
      </c>
      <c r="L740">
        <v>2</v>
      </c>
      <c r="M740">
        <v>3</v>
      </c>
      <c r="N740">
        <v>2</v>
      </c>
      <c r="O740">
        <v>0.4</v>
      </c>
      <c r="P740" t="s">
        <v>86</v>
      </c>
      <c r="Q740" t="s">
        <v>124</v>
      </c>
      <c r="R740" t="s">
        <v>66</v>
      </c>
      <c r="S740" t="s">
        <v>66</v>
      </c>
      <c r="T740">
        <v>0</v>
      </c>
      <c r="U740">
        <v>0</v>
      </c>
      <c r="V740">
        <v>2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2</v>
      </c>
      <c r="AG740">
        <v>0</v>
      </c>
      <c r="AH740">
        <v>4</v>
      </c>
      <c r="AI740">
        <v>2</v>
      </c>
      <c r="AJ740">
        <v>15</v>
      </c>
      <c r="AK740">
        <v>2</v>
      </c>
      <c r="AL740">
        <v>16</v>
      </c>
      <c r="AM740">
        <v>0</v>
      </c>
      <c r="AN740" t="s">
        <v>3332</v>
      </c>
      <c r="AO740" t="s">
        <v>68</v>
      </c>
      <c r="AP740">
        <v>1.1910000000000001</v>
      </c>
      <c r="AQ740" t="s">
        <v>69</v>
      </c>
      <c r="AR740">
        <v>31</v>
      </c>
      <c r="AS740">
        <v>2</v>
      </c>
      <c r="AT740">
        <v>1.967E-2</v>
      </c>
      <c r="AU740">
        <v>-2.99E-3</v>
      </c>
      <c r="AV740">
        <v>9.3119999999999994E-2</v>
      </c>
      <c r="AW740">
        <v>-1.5440000000000001E-2</v>
      </c>
      <c r="AX740">
        <v>1.31E-3</v>
      </c>
      <c r="AY740">
        <v>-3.1E-4</v>
      </c>
      <c r="AZ740">
        <v>1.4019999999999999E-2</v>
      </c>
      <c r="BA740">
        <v>1</v>
      </c>
      <c r="BB740" t="s">
        <v>70</v>
      </c>
      <c r="BC740">
        <v>0.51900000000000002</v>
      </c>
      <c r="BD740">
        <v>0</v>
      </c>
      <c r="BE740" t="s">
        <v>71</v>
      </c>
    </row>
    <row r="741" spans="1:57">
      <c r="A741">
        <v>3329</v>
      </c>
      <c r="B741" t="s">
        <v>3335</v>
      </c>
      <c r="D741" t="s">
        <v>66</v>
      </c>
      <c r="E741" t="s">
        <v>3336</v>
      </c>
      <c r="F741" t="s">
        <v>3337</v>
      </c>
      <c r="G741">
        <v>274</v>
      </c>
      <c r="H741" t="s">
        <v>63</v>
      </c>
      <c r="I741">
        <v>5</v>
      </c>
      <c r="J741" t="str">
        <f>HYPERLINK("Gene3329-zp_tree_all.dnd", "Gene3329-tree")</f>
        <v>Gene3329-tree</v>
      </c>
      <c r="K741">
        <v>4</v>
      </c>
      <c r="L741">
        <v>1</v>
      </c>
      <c r="M741">
        <v>4</v>
      </c>
      <c r="N741">
        <v>1</v>
      </c>
      <c r="O741">
        <v>0.2</v>
      </c>
      <c r="P741" t="s">
        <v>64</v>
      </c>
      <c r="Q741" t="s">
        <v>65</v>
      </c>
      <c r="R741" t="s">
        <v>66</v>
      </c>
      <c r="S741" t="s">
        <v>66</v>
      </c>
      <c r="T741">
        <v>0</v>
      </c>
      <c r="U741">
        <v>0</v>
      </c>
      <c r="V741">
        <v>5</v>
      </c>
      <c r="W741">
        <v>0</v>
      </c>
      <c r="X741">
        <v>0</v>
      </c>
      <c r="Y741">
        <v>0</v>
      </c>
      <c r="Z741">
        <v>0</v>
      </c>
      <c r="AA741">
        <v>4</v>
      </c>
      <c r="AB741">
        <v>0</v>
      </c>
      <c r="AC741">
        <v>0</v>
      </c>
      <c r="AD741">
        <v>0</v>
      </c>
      <c r="AE741">
        <v>0</v>
      </c>
      <c r="AF741">
        <v>1</v>
      </c>
      <c r="AG741">
        <v>0</v>
      </c>
      <c r="AH741">
        <v>5</v>
      </c>
      <c r="AI741">
        <v>2</v>
      </c>
      <c r="AJ741">
        <v>13</v>
      </c>
      <c r="AK741">
        <v>1</v>
      </c>
      <c r="AL741">
        <v>19</v>
      </c>
      <c r="AM741">
        <v>4</v>
      </c>
      <c r="AN741" t="s">
        <v>3338</v>
      </c>
      <c r="AO741" t="s">
        <v>3339</v>
      </c>
      <c r="AP741">
        <v>0.41899999999999998</v>
      </c>
      <c r="AQ741" t="s">
        <v>69</v>
      </c>
      <c r="AR741">
        <v>32</v>
      </c>
      <c r="AS741">
        <v>5</v>
      </c>
      <c r="AT741">
        <v>2.2630000000000001E-2</v>
      </c>
      <c r="AU741">
        <v>-4.1599999999999996E-3</v>
      </c>
      <c r="AV741">
        <v>9.2810000000000004E-2</v>
      </c>
      <c r="AW741">
        <v>-1.678E-2</v>
      </c>
      <c r="AX741">
        <v>4.4099999999999999E-3</v>
      </c>
      <c r="AY741">
        <v>-1.06E-3</v>
      </c>
      <c r="AZ741">
        <v>4.7550000000000002E-2</v>
      </c>
      <c r="BA741">
        <v>1</v>
      </c>
      <c r="BB741" t="s">
        <v>70</v>
      </c>
      <c r="BC741">
        <v>1.0469999999999999</v>
      </c>
      <c r="BD741">
        <v>0.86399999999999999</v>
      </c>
      <c r="BE741" t="s">
        <v>71</v>
      </c>
    </row>
    <row r="742" spans="1:57">
      <c r="A742">
        <v>3331</v>
      </c>
      <c r="B742" t="s">
        <v>3340</v>
      </c>
      <c r="D742" t="s">
        <v>66</v>
      </c>
      <c r="E742" t="s">
        <v>3341</v>
      </c>
      <c r="F742" t="s">
        <v>3342</v>
      </c>
      <c r="G742">
        <v>341</v>
      </c>
      <c r="H742" t="s">
        <v>63</v>
      </c>
      <c r="I742">
        <v>5</v>
      </c>
      <c r="J742" t="str">
        <f>HYPERLINK("Gene3331-zp_tree_all.dnd", "Gene3331-tree")</f>
        <v>Gene3331-tree</v>
      </c>
      <c r="K742">
        <v>4</v>
      </c>
      <c r="L742">
        <v>1</v>
      </c>
      <c r="M742">
        <v>4</v>
      </c>
      <c r="N742">
        <v>1</v>
      </c>
      <c r="O742">
        <v>0.2</v>
      </c>
      <c r="P742" t="s">
        <v>64</v>
      </c>
      <c r="Q742" t="s">
        <v>65</v>
      </c>
      <c r="R742" t="s">
        <v>66</v>
      </c>
      <c r="S742" t="s">
        <v>66</v>
      </c>
      <c r="T742">
        <v>1</v>
      </c>
      <c r="U742">
        <v>2</v>
      </c>
      <c r="V742">
        <v>5</v>
      </c>
      <c r="W742">
        <v>0.28571000000000002</v>
      </c>
      <c r="X742">
        <v>0</v>
      </c>
      <c r="Y742">
        <v>0</v>
      </c>
      <c r="Z742">
        <v>0</v>
      </c>
      <c r="AA742">
        <v>6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5</v>
      </c>
      <c r="AI742">
        <v>2</v>
      </c>
      <c r="AJ742">
        <v>27</v>
      </c>
      <c r="AK742">
        <v>1</v>
      </c>
      <c r="AL742">
        <v>33</v>
      </c>
      <c r="AM742">
        <v>7</v>
      </c>
      <c r="AN742" t="s">
        <v>3343</v>
      </c>
      <c r="AO742" t="s">
        <v>3344</v>
      </c>
      <c r="AP742">
        <v>0.88700000000000001</v>
      </c>
      <c r="AQ742" t="s">
        <v>69</v>
      </c>
      <c r="AR742">
        <v>60</v>
      </c>
      <c r="AS742">
        <v>8</v>
      </c>
      <c r="AT742">
        <v>3.236E-2</v>
      </c>
      <c r="AU742">
        <v>-5.7499999999999999E-3</v>
      </c>
      <c r="AV742">
        <v>0.14025000000000001</v>
      </c>
      <c r="AW742">
        <v>-2.5180000000000001E-2</v>
      </c>
      <c r="AX742">
        <v>5.4599999999999996E-3</v>
      </c>
      <c r="AY742">
        <v>-1.1800000000000001E-3</v>
      </c>
      <c r="AZ742">
        <v>3.8949999999999999E-2</v>
      </c>
      <c r="BA742">
        <v>1</v>
      </c>
      <c r="BB742" t="s">
        <v>70</v>
      </c>
      <c r="BC742">
        <v>1.129</v>
      </c>
      <c r="BD742">
        <v>0.63</v>
      </c>
      <c r="BE742" t="s">
        <v>71</v>
      </c>
    </row>
    <row r="743" spans="1:57">
      <c r="A743">
        <v>3332</v>
      </c>
      <c r="B743" t="s">
        <v>3345</v>
      </c>
      <c r="D743" t="s">
        <v>66</v>
      </c>
      <c r="E743" t="s">
        <v>3346</v>
      </c>
      <c r="F743" t="s">
        <v>74</v>
      </c>
      <c r="G743">
        <v>114</v>
      </c>
      <c r="H743" t="s">
        <v>85</v>
      </c>
      <c r="I743">
        <v>4</v>
      </c>
      <c r="J743" t="str">
        <f>HYPERLINK("Gene3332-zp_tree_all.dnd", "Gene3332-tree")</f>
        <v>Gene3332-tree</v>
      </c>
      <c r="K743">
        <v>3</v>
      </c>
      <c r="L743">
        <v>1</v>
      </c>
      <c r="M743">
        <v>3</v>
      </c>
      <c r="N743">
        <v>1</v>
      </c>
      <c r="O743">
        <v>0.25</v>
      </c>
      <c r="P743" t="s">
        <v>86</v>
      </c>
      <c r="Q743" t="s">
        <v>65</v>
      </c>
      <c r="R743" t="s">
        <v>66</v>
      </c>
      <c r="S743" t="s">
        <v>66</v>
      </c>
      <c r="T743">
        <v>0</v>
      </c>
      <c r="U743">
        <v>0</v>
      </c>
      <c r="V743">
        <v>3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3</v>
      </c>
      <c r="AG743">
        <v>0</v>
      </c>
      <c r="AH743">
        <v>3</v>
      </c>
      <c r="AI743">
        <v>1</v>
      </c>
      <c r="AJ743">
        <v>14</v>
      </c>
      <c r="AK743">
        <v>3</v>
      </c>
      <c r="AL743">
        <v>1</v>
      </c>
      <c r="AM743">
        <v>0</v>
      </c>
      <c r="AN743" t="s">
        <v>3347</v>
      </c>
      <c r="AO743" t="s">
        <v>68</v>
      </c>
      <c r="AP743">
        <v>0.63400000000000001</v>
      </c>
      <c r="AQ743" t="s">
        <v>69</v>
      </c>
      <c r="AR743">
        <v>15</v>
      </c>
      <c r="AS743">
        <v>3</v>
      </c>
      <c r="AT743">
        <v>2.6800000000000001E-2</v>
      </c>
      <c r="AU743">
        <v>-7.1399999999999996E-3</v>
      </c>
      <c r="AV743">
        <v>0.11181000000000001</v>
      </c>
      <c r="AW743">
        <v>-2.8389999999999999E-2</v>
      </c>
      <c r="AX743">
        <v>5.6800000000000002E-3</v>
      </c>
      <c r="AY743">
        <v>-2.32E-3</v>
      </c>
      <c r="AZ743">
        <v>5.0790000000000002E-2</v>
      </c>
      <c r="BA743">
        <v>1</v>
      </c>
      <c r="BB743" t="s">
        <v>70</v>
      </c>
      <c r="BC743">
        <v>-0.67800000000000005</v>
      </c>
      <c r="BD743">
        <v>-0.67800000000000005</v>
      </c>
      <c r="BE743" t="s">
        <v>71</v>
      </c>
    </row>
    <row r="744" spans="1:57">
      <c r="A744">
        <v>3336</v>
      </c>
      <c r="B744" t="s">
        <v>3352</v>
      </c>
      <c r="D744" t="s">
        <v>66</v>
      </c>
      <c r="E744" t="s">
        <v>3353</v>
      </c>
      <c r="F744" t="s">
        <v>3354</v>
      </c>
      <c r="G744">
        <v>127</v>
      </c>
      <c r="H744" t="s">
        <v>63</v>
      </c>
      <c r="I744">
        <v>5</v>
      </c>
      <c r="J744" t="str">
        <f>HYPERLINK("Gene3336-zp_tree_all.dnd", "Gene3336-tree")</f>
        <v>Gene3336-tree</v>
      </c>
      <c r="K744">
        <v>5</v>
      </c>
      <c r="L744">
        <v>0</v>
      </c>
      <c r="M744">
        <v>4</v>
      </c>
      <c r="N744">
        <v>0</v>
      </c>
      <c r="O744">
        <v>0</v>
      </c>
      <c r="P744" t="s">
        <v>135</v>
      </c>
      <c r="Q744" t="s">
        <v>66</v>
      </c>
      <c r="R744" t="s">
        <v>66</v>
      </c>
      <c r="S744" t="s">
        <v>66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3</v>
      </c>
      <c r="AI744">
        <v>1</v>
      </c>
      <c r="AJ744">
        <v>8</v>
      </c>
      <c r="AK744">
        <v>0</v>
      </c>
      <c r="AL744">
        <v>6</v>
      </c>
      <c r="AM744">
        <v>0</v>
      </c>
      <c r="AN744" t="s">
        <v>68</v>
      </c>
      <c r="AO744" t="s">
        <v>68</v>
      </c>
      <c r="AP744">
        <v>0</v>
      </c>
      <c r="AQ744" t="s">
        <v>69</v>
      </c>
      <c r="AR744">
        <v>14</v>
      </c>
      <c r="AS744">
        <v>0</v>
      </c>
      <c r="AT744">
        <v>2.1000000000000001E-2</v>
      </c>
      <c r="AU744">
        <v>-3.5000000000000001E-3</v>
      </c>
      <c r="AV744">
        <v>0.10359</v>
      </c>
      <c r="AW744">
        <v>-1.7940000000000001E-2</v>
      </c>
      <c r="AX744">
        <v>0</v>
      </c>
      <c r="AY744">
        <v>0</v>
      </c>
      <c r="AZ744">
        <v>0</v>
      </c>
      <c r="BA744">
        <v>1</v>
      </c>
      <c r="BB744" t="s">
        <v>70</v>
      </c>
      <c r="BC744">
        <v>8.6999999999999994E-2</v>
      </c>
      <c r="BD744">
        <v>8.6999999999999994E-2</v>
      </c>
      <c r="BE744" t="s">
        <v>71</v>
      </c>
    </row>
    <row r="745" spans="1:57">
      <c r="A745">
        <v>3337</v>
      </c>
      <c r="B745" t="s">
        <v>3355</v>
      </c>
      <c r="D745" t="s">
        <v>66</v>
      </c>
      <c r="E745" t="s">
        <v>3356</v>
      </c>
      <c r="F745" t="s">
        <v>74</v>
      </c>
      <c r="G745">
        <v>118</v>
      </c>
      <c r="H745" t="s">
        <v>63</v>
      </c>
      <c r="I745">
        <v>5</v>
      </c>
      <c r="J745" t="str">
        <f>HYPERLINK("Gene3337-zp_tree_all.dnd", "Gene3337-tree")</f>
        <v>Gene3337-tree</v>
      </c>
      <c r="K745">
        <v>5</v>
      </c>
      <c r="L745">
        <v>0</v>
      </c>
      <c r="M745">
        <v>5</v>
      </c>
      <c r="N745">
        <v>0</v>
      </c>
      <c r="O745">
        <v>0</v>
      </c>
      <c r="P745" t="s">
        <v>96</v>
      </c>
      <c r="Q745" t="s">
        <v>66</v>
      </c>
      <c r="R745" t="s">
        <v>66</v>
      </c>
      <c r="S745" t="s">
        <v>66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4</v>
      </c>
      <c r="AI745">
        <v>2</v>
      </c>
      <c r="AJ745">
        <v>6</v>
      </c>
      <c r="AK745">
        <v>0</v>
      </c>
      <c r="AL745">
        <v>12</v>
      </c>
      <c r="AM745">
        <v>0</v>
      </c>
      <c r="AN745" t="s">
        <v>68</v>
      </c>
      <c r="AO745" t="s">
        <v>68</v>
      </c>
      <c r="AP745">
        <v>0</v>
      </c>
      <c r="AQ745" t="s">
        <v>69</v>
      </c>
      <c r="AR745">
        <v>18</v>
      </c>
      <c r="AS745">
        <v>0</v>
      </c>
      <c r="AT745">
        <v>2.7119999999999998E-2</v>
      </c>
      <c r="AU745">
        <v>-5.0899999999999999E-3</v>
      </c>
      <c r="AV745">
        <v>0.15190000000000001</v>
      </c>
      <c r="AW745">
        <v>-2.981E-2</v>
      </c>
      <c r="AX745">
        <v>0</v>
      </c>
      <c r="AY745">
        <v>0</v>
      </c>
      <c r="AZ745">
        <v>0</v>
      </c>
      <c r="BA745">
        <v>1</v>
      </c>
      <c r="BB745" t="s">
        <v>70</v>
      </c>
      <c r="BC745">
        <v>0.81799999999999995</v>
      </c>
      <c r="BD745">
        <v>0.81799999999999995</v>
      </c>
      <c r="BE745" t="s">
        <v>71</v>
      </c>
    </row>
    <row r="746" spans="1:57">
      <c r="A746">
        <v>3351</v>
      </c>
      <c r="B746" t="s">
        <v>3367</v>
      </c>
      <c r="D746" t="s">
        <v>66</v>
      </c>
      <c r="E746" t="s">
        <v>3368</v>
      </c>
      <c r="F746" t="s">
        <v>74</v>
      </c>
      <c r="G746">
        <v>95</v>
      </c>
      <c r="H746" t="s">
        <v>63</v>
      </c>
      <c r="I746">
        <v>5</v>
      </c>
      <c r="J746" t="str">
        <f>HYPERLINK("Gene3351-zp_tree_all.dnd", "Gene3351-tree")</f>
        <v>Gene3351-tree</v>
      </c>
      <c r="K746">
        <v>4</v>
      </c>
      <c r="L746">
        <v>1</v>
      </c>
      <c r="M746">
        <v>3</v>
      </c>
      <c r="N746">
        <v>1</v>
      </c>
      <c r="O746">
        <v>0.25</v>
      </c>
      <c r="P746" t="s">
        <v>112</v>
      </c>
      <c r="Q746" t="s">
        <v>65</v>
      </c>
      <c r="R746" t="s">
        <v>66</v>
      </c>
      <c r="S746" t="s">
        <v>66</v>
      </c>
      <c r="T746">
        <v>0</v>
      </c>
      <c r="U746">
        <v>0</v>
      </c>
      <c r="V746">
        <v>4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4</v>
      </c>
      <c r="AI746">
        <v>1</v>
      </c>
      <c r="AJ746">
        <v>8</v>
      </c>
      <c r="AK746">
        <v>1</v>
      </c>
      <c r="AL746">
        <v>3</v>
      </c>
      <c r="AM746">
        <v>3</v>
      </c>
      <c r="AN746" t="s">
        <v>3369</v>
      </c>
      <c r="AO746" t="s">
        <v>3370</v>
      </c>
      <c r="AP746">
        <v>4.4569999999999999</v>
      </c>
      <c r="AQ746" t="s">
        <v>69</v>
      </c>
      <c r="AR746">
        <v>11</v>
      </c>
      <c r="AS746">
        <v>4</v>
      </c>
      <c r="AT746">
        <v>2.9870000000000001E-2</v>
      </c>
      <c r="AU746">
        <v>-4.4400000000000004E-3</v>
      </c>
      <c r="AV746">
        <v>0.11053</v>
      </c>
      <c r="AW746">
        <v>-1.29E-2</v>
      </c>
      <c r="AX746">
        <v>1.1379999999999999E-2</v>
      </c>
      <c r="AY746">
        <v>-2.7899999999999999E-3</v>
      </c>
      <c r="AZ746">
        <v>0.10298</v>
      </c>
      <c r="BA746">
        <v>1</v>
      </c>
      <c r="BB746" t="s">
        <v>70</v>
      </c>
      <c r="BC746">
        <v>0.73799999999999999</v>
      </c>
      <c r="BD746">
        <v>0.30399999999999999</v>
      </c>
      <c r="BE746" t="s">
        <v>71</v>
      </c>
    </row>
    <row r="747" spans="1:57">
      <c r="A747">
        <v>3352</v>
      </c>
      <c r="B747" t="s">
        <v>3371</v>
      </c>
      <c r="D747" t="s">
        <v>66</v>
      </c>
      <c r="E747" t="s">
        <v>3372</v>
      </c>
      <c r="F747" t="s">
        <v>3373</v>
      </c>
      <c r="G747">
        <v>275</v>
      </c>
      <c r="H747" t="s">
        <v>63</v>
      </c>
      <c r="I747">
        <v>5</v>
      </c>
      <c r="J747" t="str">
        <f>HYPERLINK("Gene3352-zp_tree_all.dnd", "Gene3352-tree")</f>
        <v>Gene3352-tree</v>
      </c>
      <c r="K747">
        <v>3</v>
      </c>
      <c r="L747">
        <v>2</v>
      </c>
      <c r="M747">
        <v>3</v>
      </c>
      <c r="N747">
        <v>2</v>
      </c>
      <c r="O747">
        <v>0.4</v>
      </c>
      <c r="P747" t="s">
        <v>86</v>
      </c>
      <c r="Q747" t="s">
        <v>124</v>
      </c>
      <c r="R747" t="s">
        <v>66</v>
      </c>
      <c r="S747" t="s">
        <v>66</v>
      </c>
      <c r="T747">
        <v>0</v>
      </c>
      <c r="U747">
        <v>0</v>
      </c>
      <c r="V747">
        <v>3</v>
      </c>
      <c r="W747">
        <v>0</v>
      </c>
      <c r="X747">
        <v>0</v>
      </c>
      <c r="Y747">
        <v>0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2</v>
      </c>
      <c r="AG747">
        <v>0</v>
      </c>
      <c r="AH747">
        <v>4</v>
      </c>
      <c r="AI747">
        <v>2</v>
      </c>
      <c r="AJ747">
        <v>19</v>
      </c>
      <c r="AK747">
        <v>2</v>
      </c>
      <c r="AL747">
        <v>25</v>
      </c>
      <c r="AM747">
        <v>1</v>
      </c>
      <c r="AN747" t="s">
        <v>3374</v>
      </c>
      <c r="AO747" t="s">
        <v>3375</v>
      </c>
      <c r="AP747">
        <v>0.72499999999999998</v>
      </c>
      <c r="AQ747" t="s">
        <v>69</v>
      </c>
      <c r="AR747">
        <v>44</v>
      </c>
      <c r="AS747">
        <v>3</v>
      </c>
      <c r="AT747">
        <v>2.7150000000000001E-2</v>
      </c>
      <c r="AU747">
        <v>-4.6600000000000001E-3</v>
      </c>
      <c r="AV747">
        <v>0.11883000000000001</v>
      </c>
      <c r="AW747">
        <v>-2.154E-2</v>
      </c>
      <c r="AX747">
        <v>2.5400000000000002E-3</v>
      </c>
      <c r="AY747">
        <v>-4.6000000000000001E-4</v>
      </c>
      <c r="AZ747">
        <v>2.1389999999999999E-2</v>
      </c>
      <c r="BA747">
        <v>1</v>
      </c>
      <c r="BB747" t="s">
        <v>70</v>
      </c>
      <c r="BC747">
        <v>0.83599999999999997</v>
      </c>
      <c r="BD747">
        <v>-0.06</v>
      </c>
      <c r="BE747" t="s">
        <v>71</v>
      </c>
    </row>
    <row r="748" spans="1:57">
      <c r="A748">
        <v>3361</v>
      </c>
      <c r="B748" t="s">
        <v>3392</v>
      </c>
      <c r="D748" t="s">
        <v>66</v>
      </c>
      <c r="E748" t="s">
        <v>3393</v>
      </c>
      <c r="F748" t="s">
        <v>3394</v>
      </c>
      <c r="G748">
        <v>462</v>
      </c>
      <c r="H748" t="s">
        <v>63</v>
      </c>
      <c r="I748">
        <v>5</v>
      </c>
      <c r="J748" t="str">
        <f>HYPERLINK("Gene3361-zp_tree_all.dnd", "Gene3361-tree")</f>
        <v>Gene3361-tree</v>
      </c>
      <c r="K748">
        <v>4</v>
      </c>
      <c r="L748">
        <v>1</v>
      </c>
      <c r="M748">
        <v>4</v>
      </c>
      <c r="N748">
        <v>1</v>
      </c>
      <c r="O748">
        <v>0.2</v>
      </c>
      <c r="P748" t="s">
        <v>64</v>
      </c>
      <c r="Q748" t="s">
        <v>65</v>
      </c>
      <c r="R748" t="s">
        <v>66</v>
      </c>
      <c r="S748" t="s">
        <v>66</v>
      </c>
      <c r="T748">
        <v>0</v>
      </c>
      <c r="U748">
        <v>0</v>
      </c>
      <c r="V748">
        <v>3</v>
      </c>
      <c r="W748">
        <v>0</v>
      </c>
      <c r="X748">
        <v>0</v>
      </c>
      <c r="Y748">
        <v>0</v>
      </c>
      <c r="Z748">
        <v>0</v>
      </c>
      <c r="AA748">
        <v>2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4</v>
      </c>
      <c r="AI748">
        <v>2</v>
      </c>
      <c r="AJ748">
        <v>36</v>
      </c>
      <c r="AK748">
        <v>1</v>
      </c>
      <c r="AL748">
        <v>37</v>
      </c>
      <c r="AM748">
        <v>2</v>
      </c>
      <c r="AN748" t="s">
        <v>3395</v>
      </c>
      <c r="AO748" t="s">
        <v>3396</v>
      </c>
      <c r="AP748">
        <v>0.29599999999999999</v>
      </c>
      <c r="AQ748" t="s">
        <v>69</v>
      </c>
      <c r="AR748">
        <v>73</v>
      </c>
      <c r="AS748">
        <v>3</v>
      </c>
      <c r="AT748">
        <v>2.6700000000000002E-2</v>
      </c>
      <c r="AU748">
        <v>-4.7000000000000002E-3</v>
      </c>
      <c r="AV748">
        <v>0.12827</v>
      </c>
      <c r="AW748">
        <v>-2.3089999999999999E-2</v>
      </c>
      <c r="AX748">
        <v>1.49E-3</v>
      </c>
      <c r="AY748">
        <v>-3.5E-4</v>
      </c>
      <c r="AZ748">
        <v>1.159E-2</v>
      </c>
      <c r="BA748">
        <v>1</v>
      </c>
      <c r="BB748" t="s">
        <v>70</v>
      </c>
      <c r="BC748">
        <v>0.53500000000000003</v>
      </c>
      <c r="BD748">
        <v>0.316</v>
      </c>
      <c r="BE748" t="s">
        <v>71</v>
      </c>
    </row>
    <row r="749" spans="1:57">
      <c r="A749">
        <v>3362</v>
      </c>
      <c r="B749" t="s">
        <v>3397</v>
      </c>
      <c r="D749" t="s">
        <v>66</v>
      </c>
      <c r="E749" t="s">
        <v>3398</v>
      </c>
      <c r="F749" t="s">
        <v>74</v>
      </c>
      <c r="G749">
        <v>61</v>
      </c>
      <c r="H749" t="s">
        <v>63</v>
      </c>
      <c r="I749">
        <v>5</v>
      </c>
      <c r="J749" t="str">
        <f>HYPERLINK("Gene3362-zp_tree_all.dnd", "Gene3362-tree")</f>
        <v>Gene3362-tree</v>
      </c>
      <c r="K749">
        <v>2</v>
      </c>
      <c r="L749">
        <v>3</v>
      </c>
      <c r="M749">
        <v>2</v>
      </c>
      <c r="N749">
        <v>3</v>
      </c>
      <c r="O749">
        <v>0.6</v>
      </c>
      <c r="P749" t="s">
        <v>124</v>
      </c>
      <c r="Q749" t="s">
        <v>86</v>
      </c>
      <c r="R749" t="s">
        <v>66</v>
      </c>
      <c r="S749" t="s">
        <v>66</v>
      </c>
      <c r="T749">
        <v>0</v>
      </c>
      <c r="U749">
        <v>0</v>
      </c>
      <c r="V749">
        <v>3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3</v>
      </c>
      <c r="AG749">
        <v>0</v>
      </c>
      <c r="AH749">
        <v>3</v>
      </c>
      <c r="AI749">
        <v>2</v>
      </c>
      <c r="AJ749">
        <v>3</v>
      </c>
      <c r="AK749">
        <v>3</v>
      </c>
      <c r="AL749">
        <v>5</v>
      </c>
      <c r="AM749">
        <v>0</v>
      </c>
      <c r="AN749" t="s">
        <v>3399</v>
      </c>
      <c r="AO749" t="s">
        <v>68</v>
      </c>
      <c r="AP749">
        <v>2.569</v>
      </c>
      <c r="AQ749" t="s">
        <v>239</v>
      </c>
      <c r="AR749">
        <v>8</v>
      </c>
      <c r="AS749">
        <v>3</v>
      </c>
      <c r="AT749">
        <v>2.9510000000000002E-2</v>
      </c>
      <c r="AU749">
        <v>-4.45E-3</v>
      </c>
      <c r="AV749">
        <v>0.11097</v>
      </c>
      <c r="AW749">
        <v>-2.085E-2</v>
      </c>
      <c r="AX749">
        <v>8.5599999999999999E-3</v>
      </c>
      <c r="AY749">
        <v>-1.3600000000000001E-3</v>
      </c>
      <c r="AZ749">
        <v>7.7090000000000006E-2</v>
      </c>
      <c r="BA749">
        <v>1</v>
      </c>
      <c r="BB749" t="s">
        <v>70</v>
      </c>
      <c r="BC749">
        <v>0.16400000000000001</v>
      </c>
      <c r="BD749">
        <v>0.16400000000000001</v>
      </c>
      <c r="BE749" t="s">
        <v>71</v>
      </c>
    </row>
    <row r="750" spans="1:57">
      <c r="A750">
        <v>3400</v>
      </c>
      <c r="B750" t="s">
        <v>3406</v>
      </c>
      <c r="D750" t="s">
        <v>66</v>
      </c>
      <c r="E750" t="s">
        <v>3407</v>
      </c>
      <c r="F750" t="s">
        <v>3408</v>
      </c>
      <c r="G750">
        <v>276</v>
      </c>
      <c r="H750" t="s">
        <v>85</v>
      </c>
      <c r="I750">
        <v>4</v>
      </c>
      <c r="J750" t="str">
        <f>HYPERLINK("Gene3400-zp_tree_all.dnd", "Gene3400-tree")</f>
        <v>Gene3400-tree</v>
      </c>
      <c r="K750">
        <v>1</v>
      </c>
      <c r="L750">
        <v>3</v>
      </c>
      <c r="M750">
        <v>1</v>
      </c>
      <c r="N750">
        <v>3</v>
      </c>
      <c r="O750">
        <v>0.75</v>
      </c>
      <c r="P750" t="s">
        <v>65</v>
      </c>
      <c r="Q750" t="s">
        <v>86</v>
      </c>
      <c r="R750" t="s">
        <v>66</v>
      </c>
      <c r="S750" t="s">
        <v>66</v>
      </c>
      <c r="T750">
        <v>1</v>
      </c>
      <c r="U750">
        <v>2</v>
      </c>
      <c r="V750">
        <v>4</v>
      </c>
      <c r="W750">
        <v>0.33333000000000002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2</v>
      </c>
      <c r="AE750">
        <v>2</v>
      </c>
      <c r="AF750">
        <v>4</v>
      </c>
      <c r="AG750">
        <v>0.33333000000000002</v>
      </c>
      <c r="AH750">
        <v>4</v>
      </c>
      <c r="AI750">
        <v>1</v>
      </c>
      <c r="AJ750">
        <v>36</v>
      </c>
      <c r="AK750">
        <v>6</v>
      </c>
      <c r="AL750">
        <v>3</v>
      </c>
      <c r="AM750">
        <v>0</v>
      </c>
      <c r="AN750" t="s">
        <v>3409</v>
      </c>
      <c r="AO750" t="s">
        <v>68</v>
      </c>
      <c r="AP750">
        <v>1.3839999999999999</v>
      </c>
      <c r="AQ750" t="s">
        <v>69</v>
      </c>
      <c r="AR750">
        <v>39</v>
      </c>
      <c r="AS750">
        <v>6</v>
      </c>
      <c r="AT750">
        <v>2.758E-2</v>
      </c>
      <c r="AU750">
        <v>-5.0600000000000003E-3</v>
      </c>
      <c r="AV750">
        <v>0.12466000000000001</v>
      </c>
      <c r="AW750">
        <v>-2.5559999999999999E-2</v>
      </c>
      <c r="AX750">
        <v>4.62E-3</v>
      </c>
      <c r="AY750">
        <v>-8.0999999999999996E-4</v>
      </c>
      <c r="AZ750">
        <v>3.705E-2</v>
      </c>
      <c r="BA750">
        <v>1</v>
      </c>
      <c r="BB750" t="s">
        <v>70</v>
      </c>
      <c r="BC750">
        <v>-0.505</v>
      </c>
      <c r="BD750">
        <v>-0.72199999999999998</v>
      </c>
      <c r="BE750" t="s">
        <v>71</v>
      </c>
    </row>
    <row r="751" spans="1:57">
      <c r="A751">
        <v>3411</v>
      </c>
      <c r="B751" t="s">
        <v>3415</v>
      </c>
      <c r="D751" t="s">
        <v>66</v>
      </c>
      <c r="E751" t="s">
        <v>3416</v>
      </c>
      <c r="F751" t="s">
        <v>3417</v>
      </c>
      <c r="G751">
        <v>69</v>
      </c>
      <c r="H751" t="s">
        <v>106</v>
      </c>
      <c r="I751">
        <v>4</v>
      </c>
      <c r="J751" t="str">
        <f>HYPERLINK("Gene3411-zp_tree_all.dnd", "Gene3411-tree")</f>
        <v>Gene3411-tree</v>
      </c>
      <c r="K751">
        <v>3</v>
      </c>
      <c r="L751">
        <v>1</v>
      </c>
      <c r="M751">
        <v>3</v>
      </c>
      <c r="N751">
        <v>1</v>
      </c>
      <c r="O751">
        <v>0.25</v>
      </c>
      <c r="P751" t="s">
        <v>86</v>
      </c>
      <c r="Q751" t="s">
        <v>65</v>
      </c>
      <c r="R751" t="s">
        <v>66</v>
      </c>
      <c r="S751" t="s">
        <v>66</v>
      </c>
      <c r="T751">
        <v>0</v>
      </c>
      <c r="U751">
        <v>0</v>
      </c>
      <c r="V751">
        <v>2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2</v>
      </c>
      <c r="AG751">
        <v>0</v>
      </c>
      <c r="AH751">
        <v>4</v>
      </c>
      <c r="AI751">
        <v>1</v>
      </c>
      <c r="AJ751">
        <v>10</v>
      </c>
      <c r="AK751">
        <v>2</v>
      </c>
      <c r="AL751">
        <v>1</v>
      </c>
      <c r="AM751">
        <v>0</v>
      </c>
      <c r="AN751" t="s">
        <v>3418</v>
      </c>
      <c r="AO751" t="s">
        <v>68</v>
      </c>
      <c r="AP751">
        <v>0.53400000000000003</v>
      </c>
      <c r="AQ751" t="s">
        <v>69</v>
      </c>
      <c r="AR751">
        <v>11</v>
      </c>
      <c r="AS751">
        <v>2</v>
      </c>
      <c r="AT751">
        <v>3.0679999999999999E-2</v>
      </c>
      <c r="AU751">
        <v>-7.2700000000000004E-3</v>
      </c>
      <c r="AV751">
        <v>0.13105</v>
      </c>
      <c r="AW751">
        <v>-2.904E-2</v>
      </c>
      <c r="AX751">
        <v>6.4200000000000004E-3</v>
      </c>
      <c r="AY751">
        <v>-2.6199999999999999E-3</v>
      </c>
      <c r="AZ751">
        <v>4.9020000000000001E-2</v>
      </c>
      <c r="BA751">
        <v>1</v>
      </c>
      <c r="BB751" t="s">
        <v>70</v>
      </c>
      <c r="BC751">
        <v>0.27900000000000003</v>
      </c>
      <c r="BD751">
        <v>-0.55800000000000005</v>
      </c>
      <c r="BE751" t="s">
        <v>71</v>
      </c>
    </row>
    <row r="752" spans="1:57">
      <c r="A752">
        <v>3412</v>
      </c>
      <c r="B752" t="s">
        <v>3419</v>
      </c>
      <c r="D752" t="s">
        <v>66</v>
      </c>
      <c r="E752" t="s">
        <v>3420</v>
      </c>
      <c r="F752" t="s">
        <v>3421</v>
      </c>
      <c r="G752">
        <v>101</v>
      </c>
      <c r="H752" t="s">
        <v>106</v>
      </c>
      <c r="I752">
        <v>4</v>
      </c>
      <c r="J752" t="str">
        <f>HYPERLINK("Gene3412-zp_tree_all.dnd", "Gene3412-tree")</f>
        <v>Gene3412-tree</v>
      </c>
      <c r="K752">
        <v>3</v>
      </c>
      <c r="L752">
        <v>1</v>
      </c>
      <c r="M752">
        <v>3</v>
      </c>
      <c r="N752">
        <v>1</v>
      </c>
      <c r="O752">
        <v>0.25</v>
      </c>
      <c r="P752" t="s">
        <v>86</v>
      </c>
      <c r="Q752" t="s">
        <v>65</v>
      </c>
      <c r="R752" t="s">
        <v>66</v>
      </c>
      <c r="S752" t="s">
        <v>66</v>
      </c>
      <c r="T752">
        <v>0</v>
      </c>
      <c r="U752">
        <v>0</v>
      </c>
      <c r="V752">
        <v>2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2</v>
      </c>
      <c r="AG752">
        <v>0</v>
      </c>
      <c r="AH752">
        <v>4</v>
      </c>
      <c r="AI752">
        <v>1</v>
      </c>
      <c r="AJ752">
        <v>14</v>
      </c>
      <c r="AK752">
        <v>2</v>
      </c>
      <c r="AL752">
        <v>4</v>
      </c>
      <c r="AM752">
        <v>0</v>
      </c>
      <c r="AN752" t="s">
        <v>3422</v>
      </c>
      <c r="AO752" t="s">
        <v>68</v>
      </c>
      <c r="AP752">
        <v>0.57799999999999996</v>
      </c>
      <c r="AQ752" t="s">
        <v>69</v>
      </c>
      <c r="AR752">
        <v>18</v>
      </c>
      <c r="AS752">
        <v>2</v>
      </c>
      <c r="AT752">
        <v>3.4099999999999998E-2</v>
      </c>
      <c r="AU752">
        <v>-5.7000000000000002E-3</v>
      </c>
      <c r="AV752">
        <v>0.17702999999999999</v>
      </c>
      <c r="AW752">
        <v>-2.8150000000000001E-2</v>
      </c>
      <c r="AX752">
        <v>4.1399999999999996E-3</v>
      </c>
      <c r="AY752">
        <v>-1.6900000000000001E-3</v>
      </c>
      <c r="AZ752">
        <v>2.3390000000000001E-2</v>
      </c>
      <c r="BA752">
        <v>1</v>
      </c>
      <c r="BB752" t="s">
        <v>70</v>
      </c>
      <c r="BC752">
        <v>-0.03</v>
      </c>
      <c r="BD752">
        <v>-0.03</v>
      </c>
      <c r="BE752" t="s">
        <v>71</v>
      </c>
    </row>
    <row r="753" spans="1:57">
      <c r="A753">
        <v>3419</v>
      </c>
      <c r="B753" t="s">
        <v>3423</v>
      </c>
      <c r="D753" t="s">
        <v>66</v>
      </c>
      <c r="E753" t="s">
        <v>3424</v>
      </c>
      <c r="F753" t="s">
        <v>2639</v>
      </c>
      <c r="G753">
        <v>264</v>
      </c>
      <c r="H753" t="s">
        <v>63</v>
      </c>
      <c r="I753">
        <v>5</v>
      </c>
      <c r="J753" t="str">
        <f>HYPERLINK("Gene3419-zp_tree_all.dnd", "Gene3419-tree")</f>
        <v>Gene3419-tree</v>
      </c>
      <c r="K753">
        <v>3</v>
      </c>
      <c r="L753">
        <v>2</v>
      </c>
      <c r="M753">
        <v>3</v>
      </c>
      <c r="N753">
        <v>2</v>
      </c>
      <c r="O753">
        <v>0.4</v>
      </c>
      <c r="P753" t="s">
        <v>86</v>
      </c>
      <c r="Q753" t="s">
        <v>124</v>
      </c>
      <c r="R753" t="s">
        <v>66</v>
      </c>
      <c r="S753" t="s">
        <v>66</v>
      </c>
      <c r="T753">
        <v>0</v>
      </c>
      <c r="U753">
        <v>0</v>
      </c>
      <c r="V753">
        <v>8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8</v>
      </c>
      <c r="AG753">
        <v>0</v>
      </c>
      <c r="AH753">
        <v>5</v>
      </c>
      <c r="AI753">
        <v>2</v>
      </c>
      <c r="AJ753">
        <v>41</v>
      </c>
      <c r="AK753">
        <v>5</v>
      </c>
      <c r="AL753">
        <v>11</v>
      </c>
      <c r="AM753">
        <v>3</v>
      </c>
      <c r="AN753" t="s">
        <v>3425</v>
      </c>
      <c r="AO753" t="s">
        <v>3426</v>
      </c>
      <c r="AP753">
        <v>0.44600000000000001</v>
      </c>
      <c r="AQ753" t="s">
        <v>69</v>
      </c>
      <c r="AR753">
        <v>52</v>
      </c>
      <c r="AS753">
        <v>8</v>
      </c>
      <c r="AT753">
        <v>3.295E-2</v>
      </c>
      <c r="AU753">
        <v>-4.3099999999999996E-3</v>
      </c>
      <c r="AV753">
        <v>0.13153999999999999</v>
      </c>
      <c r="AW753">
        <v>-1.6629999999999999E-2</v>
      </c>
      <c r="AX753">
        <v>6.3200000000000001E-3</v>
      </c>
      <c r="AY753">
        <v>-1.33E-3</v>
      </c>
      <c r="AZ753">
        <v>4.8059999999999999E-2</v>
      </c>
      <c r="BA753">
        <v>1</v>
      </c>
      <c r="BB753" t="s">
        <v>70</v>
      </c>
      <c r="BC753">
        <v>-0.34799999999999998</v>
      </c>
      <c r="BD753">
        <v>-0.59699999999999998</v>
      </c>
      <c r="BE753" t="s">
        <v>71</v>
      </c>
    </row>
    <row r="754" spans="1:57">
      <c r="A754">
        <v>3420</v>
      </c>
      <c r="B754" t="s">
        <v>3427</v>
      </c>
      <c r="D754" t="s">
        <v>66</v>
      </c>
      <c r="E754" t="s">
        <v>3428</v>
      </c>
      <c r="F754" t="s">
        <v>3429</v>
      </c>
      <c r="G754">
        <v>156</v>
      </c>
      <c r="H754" t="s">
        <v>63</v>
      </c>
      <c r="I754">
        <v>5</v>
      </c>
      <c r="J754" t="str">
        <f>HYPERLINK("Gene3420-zp_tree_all.dnd", "Gene3420-tree")</f>
        <v>Gene3420-tree</v>
      </c>
      <c r="K754">
        <v>5</v>
      </c>
      <c r="L754">
        <v>0</v>
      </c>
      <c r="M754">
        <v>5</v>
      </c>
      <c r="N754">
        <v>0</v>
      </c>
      <c r="O754">
        <v>0</v>
      </c>
      <c r="P754" t="s">
        <v>96</v>
      </c>
      <c r="Q754" t="s">
        <v>66</v>
      </c>
      <c r="R754" t="s">
        <v>66</v>
      </c>
      <c r="S754" t="s">
        <v>66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4</v>
      </c>
      <c r="AI754">
        <v>2</v>
      </c>
      <c r="AJ754">
        <v>12</v>
      </c>
      <c r="AK754">
        <v>0</v>
      </c>
      <c r="AL754">
        <v>8</v>
      </c>
      <c r="AM754">
        <v>0</v>
      </c>
      <c r="AN754" t="s">
        <v>68</v>
      </c>
      <c r="AO754" t="s">
        <v>68</v>
      </c>
      <c r="AP754">
        <v>0</v>
      </c>
      <c r="AQ754" t="s">
        <v>69</v>
      </c>
      <c r="AR754">
        <v>20</v>
      </c>
      <c r="AS754">
        <v>0</v>
      </c>
      <c r="AT754">
        <v>1.9439999999999999E-2</v>
      </c>
      <c r="AU754">
        <v>-2.8900000000000002E-3</v>
      </c>
      <c r="AV754">
        <v>9.3880000000000005E-2</v>
      </c>
      <c r="AW754">
        <v>-1.451E-2</v>
      </c>
      <c r="AX754">
        <v>0</v>
      </c>
      <c r="AY754">
        <v>0</v>
      </c>
      <c r="AZ754">
        <v>0</v>
      </c>
      <c r="BA754">
        <v>1</v>
      </c>
      <c r="BB754" t="s">
        <v>70</v>
      </c>
      <c r="BC754">
        <v>0.39200000000000002</v>
      </c>
      <c r="BD754">
        <v>-3.4000000000000002E-2</v>
      </c>
      <c r="BE754" t="s">
        <v>71</v>
      </c>
    </row>
    <row r="755" spans="1:57">
      <c r="A755">
        <v>3421</v>
      </c>
      <c r="B755" t="s">
        <v>3430</v>
      </c>
      <c r="D755" t="s">
        <v>66</v>
      </c>
      <c r="E755" t="s">
        <v>3431</v>
      </c>
      <c r="F755" t="s">
        <v>3432</v>
      </c>
      <c r="G755">
        <v>779</v>
      </c>
      <c r="H755" t="s">
        <v>63</v>
      </c>
      <c r="I755">
        <v>5</v>
      </c>
      <c r="J755" t="str">
        <f>HYPERLINK("Gene3421-zp_tree_all.dnd", "Gene3421-tree")</f>
        <v>Gene3421-tree</v>
      </c>
      <c r="K755">
        <v>2</v>
      </c>
      <c r="L755">
        <v>3</v>
      </c>
      <c r="M755">
        <v>2</v>
      </c>
      <c r="N755">
        <v>3</v>
      </c>
      <c r="O755">
        <v>0.6</v>
      </c>
      <c r="P755" t="s">
        <v>124</v>
      </c>
      <c r="Q755" t="s">
        <v>86</v>
      </c>
      <c r="R755" t="s">
        <v>66</v>
      </c>
      <c r="S755" t="s">
        <v>66</v>
      </c>
      <c r="T755">
        <v>0</v>
      </c>
      <c r="U755">
        <v>0</v>
      </c>
      <c r="V755">
        <v>11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11</v>
      </c>
      <c r="AG755">
        <v>0</v>
      </c>
      <c r="AH755">
        <v>5</v>
      </c>
      <c r="AI755">
        <v>2</v>
      </c>
      <c r="AJ755">
        <v>98</v>
      </c>
      <c r="AK755">
        <v>6</v>
      </c>
      <c r="AL755">
        <v>72</v>
      </c>
      <c r="AM755">
        <v>5</v>
      </c>
      <c r="AN755" t="s">
        <v>3433</v>
      </c>
      <c r="AO755" t="s">
        <v>3434</v>
      </c>
      <c r="AP755">
        <v>5.2999999999999999E-2</v>
      </c>
      <c r="AQ755" t="s">
        <v>69</v>
      </c>
      <c r="AR755">
        <v>170</v>
      </c>
      <c r="AS755">
        <v>11</v>
      </c>
      <c r="AT755">
        <v>3.5470000000000002E-2</v>
      </c>
      <c r="AU755">
        <v>-5.2300000000000003E-3</v>
      </c>
      <c r="AV755">
        <v>0.17186000000000001</v>
      </c>
      <c r="AW755">
        <v>-2.631E-2</v>
      </c>
      <c r="AX755">
        <v>2.98E-3</v>
      </c>
      <c r="AY755">
        <v>-5.9999999999999995E-4</v>
      </c>
      <c r="AZ755">
        <v>1.7309999999999999E-2</v>
      </c>
      <c r="BA755">
        <v>1</v>
      </c>
      <c r="BB755" t="s">
        <v>70</v>
      </c>
      <c r="BC755">
        <v>0.504</v>
      </c>
      <c r="BD755">
        <v>2.4E-2</v>
      </c>
      <c r="BE755" t="s">
        <v>71</v>
      </c>
    </row>
    <row r="756" spans="1:57">
      <c r="A756">
        <v>3422</v>
      </c>
      <c r="B756" t="s">
        <v>3435</v>
      </c>
      <c r="D756" t="s">
        <v>66</v>
      </c>
      <c r="E756" t="s">
        <v>3436</v>
      </c>
      <c r="F756" t="s">
        <v>3437</v>
      </c>
      <c r="G756">
        <v>248</v>
      </c>
      <c r="H756" t="s">
        <v>63</v>
      </c>
      <c r="I756">
        <v>5</v>
      </c>
      <c r="J756" t="str">
        <f>HYPERLINK("Gene3422-zp_tree_all.dnd", "Gene3422-tree")</f>
        <v>Gene3422-tree</v>
      </c>
      <c r="K756">
        <v>4</v>
      </c>
      <c r="L756">
        <v>1</v>
      </c>
      <c r="M756">
        <v>4</v>
      </c>
      <c r="N756">
        <v>1</v>
      </c>
      <c r="O756">
        <v>0.2</v>
      </c>
      <c r="P756" t="s">
        <v>64</v>
      </c>
      <c r="Q756" t="s">
        <v>65</v>
      </c>
      <c r="R756" t="s">
        <v>66</v>
      </c>
      <c r="S756" t="s">
        <v>66</v>
      </c>
      <c r="T756">
        <v>0</v>
      </c>
      <c r="U756">
        <v>0</v>
      </c>
      <c r="V756">
        <v>2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1</v>
      </c>
      <c r="AG756">
        <v>0</v>
      </c>
      <c r="AH756">
        <v>5</v>
      </c>
      <c r="AI756">
        <v>1</v>
      </c>
      <c r="AJ756">
        <v>15</v>
      </c>
      <c r="AK756">
        <v>1</v>
      </c>
      <c r="AL756">
        <v>22</v>
      </c>
      <c r="AM756">
        <v>1</v>
      </c>
      <c r="AN756" t="s">
        <v>3438</v>
      </c>
      <c r="AO756" t="s">
        <v>3439</v>
      </c>
      <c r="AP756">
        <v>0.19</v>
      </c>
      <c r="AQ756" t="s">
        <v>69</v>
      </c>
      <c r="AR756">
        <v>37</v>
      </c>
      <c r="AS756">
        <v>2</v>
      </c>
      <c r="AT756">
        <v>2.7150000000000001E-2</v>
      </c>
      <c r="AU756">
        <v>-5.2900000000000004E-3</v>
      </c>
      <c r="AV756">
        <v>0.13333</v>
      </c>
      <c r="AW756">
        <v>-2.6620000000000001E-2</v>
      </c>
      <c r="AX756">
        <v>1.72E-3</v>
      </c>
      <c r="AY756">
        <v>-4.2000000000000002E-4</v>
      </c>
      <c r="AZ756">
        <v>1.2919999999999999E-2</v>
      </c>
      <c r="BA756">
        <v>1</v>
      </c>
      <c r="BB756" t="s">
        <v>70</v>
      </c>
      <c r="BC756">
        <v>0.59399999999999997</v>
      </c>
      <c r="BD756">
        <v>0.59399999999999997</v>
      </c>
      <c r="BE756" t="s">
        <v>71</v>
      </c>
    </row>
    <row r="757" spans="1:57">
      <c r="A757">
        <v>3423</v>
      </c>
      <c r="B757" t="s">
        <v>3440</v>
      </c>
      <c r="D757" t="s">
        <v>66</v>
      </c>
      <c r="E757" t="s">
        <v>3441</v>
      </c>
      <c r="F757" t="s">
        <v>3442</v>
      </c>
      <c r="G757">
        <v>76</v>
      </c>
      <c r="H757" t="s">
        <v>63</v>
      </c>
      <c r="I757">
        <v>5</v>
      </c>
      <c r="J757" t="str">
        <f>HYPERLINK("Gene3423-zp_tree_all.dnd", "Gene3423-tree")</f>
        <v>Gene3423-tree</v>
      </c>
      <c r="K757">
        <v>5</v>
      </c>
      <c r="L757">
        <v>0</v>
      </c>
      <c r="M757">
        <v>4</v>
      </c>
      <c r="N757">
        <v>0</v>
      </c>
      <c r="O757">
        <v>0</v>
      </c>
      <c r="P757" t="s">
        <v>135</v>
      </c>
      <c r="Q757" t="s">
        <v>66</v>
      </c>
      <c r="R757" t="s">
        <v>66</v>
      </c>
      <c r="S757" t="s">
        <v>66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2</v>
      </c>
      <c r="AI757">
        <v>1</v>
      </c>
      <c r="AJ757">
        <v>2</v>
      </c>
      <c r="AK757">
        <v>0</v>
      </c>
      <c r="AL757">
        <v>4</v>
      </c>
      <c r="AM757">
        <v>0</v>
      </c>
      <c r="AN757" t="s">
        <v>68</v>
      </c>
      <c r="AO757" t="s">
        <v>68</v>
      </c>
      <c r="AP757">
        <v>0</v>
      </c>
      <c r="AQ757" t="s">
        <v>69</v>
      </c>
      <c r="AR757">
        <v>6</v>
      </c>
      <c r="AS757">
        <v>0</v>
      </c>
      <c r="AT757">
        <v>1.6080000000000001E-2</v>
      </c>
      <c r="AU757">
        <v>-3.5300000000000002E-3</v>
      </c>
      <c r="AV757">
        <v>6.6540000000000002E-2</v>
      </c>
      <c r="AW757">
        <v>-1.4919999999999999E-2</v>
      </c>
      <c r="AX757">
        <v>0</v>
      </c>
      <c r="AY757">
        <v>0</v>
      </c>
      <c r="AZ757">
        <v>0</v>
      </c>
      <c r="BA757">
        <v>1</v>
      </c>
      <c r="BB757" t="s">
        <v>70</v>
      </c>
      <c r="BC757">
        <v>0.76400000000000001</v>
      </c>
      <c r="BD757">
        <v>0.76400000000000001</v>
      </c>
      <c r="BE757" t="s">
        <v>71</v>
      </c>
    </row>
    <row r="758" spans="1:57">
      <c r="A758">
        <v>3425</v>
      </c>
      <c r="B758" t="s">
        <v>3443</v>
      </c>
      <c r="D758" t="s">
        <v>66</v>
      </c>
      <c r="E758" t="s">
        <v>3444</v>
      </c>
      <c r="F758" t="s">
        <v>3445</v>
      </c>
      <c r="G758">
        <v>77</v>
      </c>
      <c r="H758" t="s">
        <v>63</v>
      </c>
      <c r="I758">
        <v>5</v>
      </c>
      <c r="J758" t="str">
        <f>HYPERLINK("Gene3425-zp_tree_all.dnd", "Gene3425-tree")</f>
        <v>Gene3425-tree</v>
      </c>
      <c r="K758">
        <v>5</v>
      </c>
      <c r="L758">
        <v>0</v>
      </c>
      <c r="M758">
        <v>5</v>
      </c>
      <c r="N758">
        <v>0</v>
      </c>
      <c r="O758">
        <v>0</v>
      </c>
      <c r="P758" t="s">
        <v>96</v>
      </c>
      <c r="Q758" t="s">
        <v>66</v>
      </c>
      <c r="R758" t="s">
        <v>66</v>
      </c>
      <c r="S758" t="s">
        <v>66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3</v>
      </c>
      <c r="AI758">
        <v>2</v>
      </c>
      <c r="AJ758">
        <v>6</v>
      </c>
      <c r="AK758">
        <v>0</v>
      </c>
      <c r="AL758">
        <v>2</v>
      </c>
      <c r="AM758">
        <v>1</v>
      </c>
      <c r="AN758" t="s">
        <v>68</v>
      </c>
      <c r="AO758" t="s">
        <v>3446</v>
      </c>
      <c r="AP758">
        <v>0.70699999999999996</v>
      </c>
      <c r="AQ758" t="s">
        <v>69</v>
      </c>
      <c r="AR758">
        <v>8</v>
      </c>
      <c r="AS758">
        <v>1</v>
      </c>
      <c r="AT758">
        <v>1.8180000000000002E-2</v>
      </c>
      <c r="AU758">
        <v>-2.5100000000000001E-3</v>
      </c>
      <c r="AV758">
        <v>7.2029999999999997E-2</v>
      </c>
      <c r="AW758">
        <v>-1.1180000000000001E-2</v>
      </c>
      <c r="AX758">
        <v>3.3800000000000002E-3</v>
      </c>
      <c r="AY758">
        <v>-6.4999999999999997E-4</v>
      </c>
      <c r="AZ758">
        <v>4.6980000000000001E-2</v>
      </c>
      <c r="BA758">
        <v>1</v>
      </c>
      <c r="BB758" t="s">
        <v>70</v>
      </c>
      <c r="BC758">
        <v>-0.19700000000000001</v>
      </c>
      <c r="BD758">
        <v>-0.19700000000000001</v>
      </c>
      <c r="BE758" t="s">
        <v>71</v>
      </c>
    </row>
    <row r="759" spans="1:57">
      <c r="A759">
        <v>3450</v>
      </c>
      <c r="B759" t="s">
        <v>3459</v>
      </c>
      <c r="D759" t="s">
        <v>66</v>
      </c>
      <c r="E759" t="s">
        <v>3460</v>
      </c>
      <c r="F759" t="s">
        <v>3461</v>
      </c>
      <c r="G759">
        <v>430</v>
      </c>
      <c r="H759" t="s">
        <v>63</v>
      </c>
      <c r="I759">
        <v>5</v>
      </c>
      <c r="J759" t="str">
        <f>HYPERLINK("Gene3450-zp_tree_all.dnd", "Gene3450-tree")</f>
        <v>Gene3450-tree</v>
      </c>
      <c r="K759">
        <v>4</v>
      </c>
      <c r="L759">
        <v>1</v>
      </c>
      <c r="M759">
        <v>4</v>
      </c>
      <c r="N759">
        <v>1</v>
      </c>
      <c r="O759">
        <v>0.2</v>
      </c>
      <c r="P759" t="s">
        <v>64</v>
      </c>
      <c r="Q759" t="s">
        <v>65</v>
      </c>
      <c r="R759" t="s">
        <v>66</v>
      </c>
      <c r="S759" t="s">
        <v>66</v>
      </c>
      <c r="T759">
        <v>0</v>
      </c>
      <c r="U759">
        <v>0</v>
      </c>
      <c r="V759">
        <v>5</v>
      </c>
      <c r="W759">
        <v>0</v>
      </c>
      <c r="X759">
        <v>0</v>
      </c>
      <c r="Y759">
        <v>0</v>
      </c>
      <c r="Z759">
        <v>0</v>
      </c>
      <c r="AA759">
        <v>4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5</v>
      </c>
      <c r="AI759">
        <v>1</v>
      </c>
      <c r="AJ759">
        <v>22</v>
      </c>
      <c r="AK759">
        <v>1</v>
      </c>
      <c r="AL759">
        <v>18</v>
      </c>
      <c r="AM759">
        <v>7</v>
      </c>
      <c r="AN759" t="s">
        <v>3462</v>
      </c>
      <c r="AO759" t="s">
        <v>3463</v>
      </c>
      <c r="AP759">
        <v>3.423</v>
      </c>
      <c r="AQ759" t="s">
        <v>69</v>
      </c>
      <c r="AR759">
        <v>40</v>
      </c>
      <c r="AS759">
        <v>8</v>
      </c>
      <c r="AT759">
        <v>1.8530000000000001E-2</v>
      </c>
      <c r="AU759">
        <v>-3.65E-3</v>
      </c>
      <c r="AV759">
        <v>6.7250000000000004E-2</v>
      </c>
      <c r="AW759">
        <v>-1.277E-2</v>
      </c>
      <c r="AX759">
        <v>4.6899999999999997E-3</v>
      </c>
      <c r="AY759">
        <v>-1.16E-3</v>
      </c>
      <c r="AZ759">
        <v>6.9779999999999995E-2</v>
      </c>
      <c r="BA759">
        <v>1</v>
      </c>
      <c r="BB759" t="s">
        <v>70</v>
      </c>
      <c r="BC759">
        <v>0.44800000000000001</v>
      </c>
      <c r="BD759">
        <v>0.28100000000000003</v>
      </c>
      <c r="BE759" t="s">
        <v>71</v>
      </c>
    </row>
    <row r="760" spans="1:57">
      <c r="A760">
        <v>3451</v>
      </c>
      <c r="B760" t="s">
        <v>3464</v>
      </c>
      <c r="D760" t="s">
        <v>66</v>
      </c>
      <c r="E760" t="s">
        <v>3465</v>
      </c>
      <c r="F760" t="s">
        <v>3466</v>
      </c>
      <c r="G760">
        <v>511</v>
      </c>
      <c r="H760" t="s">
        <v>63</v>
      </c>
      <c r="I760">
        <v>5</v>
      </c>
      <c r="J760" t="str">
        <f>HYPERLINK("Gene3451-zp_tree_all.dnd", "Gene3451-tree")</f>
        <v>Gene3451-tree</v>
      </c>
      <c r="K760">
        <v>3</v>
      </c>
      <c r="L760">
        <v>2</v>
      </c>
      <c r="M760">
        <v>3</v>
      </c>
      <c r="N760">
        <v>2</v>
      </c>
      <c r="O760">
        <v>0.4</v>
      </c>
      <c r="P760" t="s">
        <v>86</v>
      </c>
      <c r="Q760" t="s">
        <v>124</v>
      </c>
      <c r="R760" t="s">
        <v>66</v>
      </c>
      <c r="S760" t="s">
        <v>66</v>
      </c>
      <c r="T760">
        <v>1</v>
      </c>
      <c r="U760">
        <v>2</v>
      </c>
      <c r="V760">
        <v>12</v>
      </c>
      <c r="W760">
        <v>0.14285999999999999</v>
      </c>
      <c r="X760">
        <v>0</v>
      </c>
      <c r="Y760">
        <v>0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13</v>
      </c>
      <c r="AG760">
        <v>0</v>
      </c>
      <c r="AH760">
        <v>5</v>
      </c>
      <c r="AI760">
        <v>2</v>
      </c>
      <c r="AJ760">
        <v>47</v>
      </c>
      <c r="AK760">
        <v>6</v>
      </c>
      <c r="AL760">
        <v>44</v>
      </c>
      <c r="AM760">
        <v>8</v>
      </c>
      <c r="AN760" t="s">
        <v>3467</v>
      </c>
      <c r="AO760" t="s">
        <v>3468</v>
      </c>
      <c r="AP760">
        <v>0.26200000000000001</v>
      </c>
      <c r="AQ760" t="s">
        <v>69</v>
      </c>
      <c r="AR760">
        <v>91</v>
      </c>
      <c r="AS760">
        <v>14</v>
      </c>
      <c r="AT760">
        <v>3.32E-2</v>
      </c>
      <c r="AU760">
        <v>-5.5500000000000002E-3</v>
      </c>
      <c r="AV760">
        <v>0.13827999999999999</v>
      </c>
      <c r="AW760">
        <v>-2.333E-2</v>
      </c>
      <c r="AX760">
        <v>5.9800000000000001E-3</v>
      </c>
      <c r="AY760">
        <v>-1.1900000000000001E-3</v>
      </c>
      <c r="AZ760">
        <v>4.326E-2</v>
      </c>
      <c r="BA760">
        <v>1</v>
      </c>
      <c r="BB760" t="s">
        <v>70</v>
      </c>
      <c r="BC760">
        <v>0.379</v>
      </c>
      <c r="BD760">
        <v>0.23799999999999999</v>
      </c>
      <c r="BE760" t="s">
        <v>71</v>
      </c>
    </row>
    <row r="761" spans="1:57">
      <c r="A761">
        <v>3453</v>
      </c>
      <c r="B761" t="s">
        <v>3474</v>
      </c>
      <c r="D761" t="s">
        <v>66</v>
      </c>
      <c r="E761" t="s">
        <v>3475</v>
      </c>
      <c r="F761" t="s">
        <v>3476</v>
      </c>
      <c r="G761">
        <v>394</v>
      </c>
      <c r="H761" t="s">
        <v>63</v>
      </c>
      <c r="I761">
        <v>5</v>
      </c>
      <c r="J761" t="str">
        <f>HYPERLINK("Gene3453-zp_tree_all.dnd", "Gene3453-tree")</f>
        <v>Gene3453-tree</v>
      </c>
      <c r="K761">
        <v>4</v>
      </c>
      <c r="L761">
        <v>1</v>
      </c>
      <c r="M761">
        <v>4</v>
      </c>
      <c r="N761">
        <v>1</v>
      </c>
      <c r="O761">
        <v>0.2</v>
      </c>
      <c r="P761" t="s">
        <v>64</v>
      </c>
      <c r="Q761" t="s">
        <v>65</v>
      </c>
      <c r="R761" t="s">
        <v>66</v>
      </c>
      <c r="S761" t="s">
        <v>66</v>
      </c>
      <c r="T761">
        <v>0</v>
      </c>
      <c r="U761">
        <v>0</v>
      </c>
      <c r="V761">
        <v>5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0</v>
      </c>
      <c r="AC761">
        <v>0</v>
      </c>
      <c r="AD761">
        <v>0</v>
      </c>
      <c r="AE761">
        <v>0</v>
      </c>
      <c r="AF761">
        <v>2</v>
      </c>
      <c r="AG761">
        <v>0</v>
      </c>
      <c r="AH761">
        <v>4</v>
      </c>
      <c r="AI761">
        <v>2</v>
      </c>
      <c r="AJ761">
        <v>15</v>
      </c>
      <c r="AK761">
        <v>2</v>
      </c>
      <c r="AL761">
        <v>16</v>
      </c>
      <c r="AM761">
        <v>3</v>
      </c>
      <c r="AN761" t="s">
        <v>3477</v>
      </c>
      <c r="AO761" t="s">
        <v>3478</v>
      </c>
      <c r="AP761">
        <v>0.17499999999999999</v>
      </c>
      <c r="AQ761" t="s">
        <v>69</v>
      </c>
      <c r="AR761">
        <v>31</v>
      </c>
      <c r="AS761">
        <v>5</v>
      </c>
      <c r="AT761">
        <v>1.464E-2</v>
      </c>
      <c r="AU761">
        <v>-2.31E-3</v>
      </c>
      <c r="AV761">
        <v>5.5509999999999997E-2</v>
      </c>
      <c r="AW761">
        <v>-8.9599999999999992E-3</v>
      </c>
      <c r="AX761">
        <v>2.8800000000000002E-3</v>
      </c>
      <c r="AY761">
        <v>-4.8999999999999998E-4</v>
      </c>
      <c r="AZ761">
        <v>5.1909999999999998E-2</v>
      </c>
      <c r="BA761">
        <v>1</v>
      </c>
      <c r="BB761" t="s">
        <v>70</v>
      </c>
      <c r="BC761">
        <v>0.69099999999999995</v>
      </c>
      <c r="BD761">
        <v>0.45400000000000001</v>
      </c>
      <c r="BE761" t="s">
        <v>71</v>
      </c>
    </row>
    <row r="762" spans="1:57">
      <c r="A762">
        <v>3454</v>
      </c>
      <c r="B762" t="s">
        <v>3479</v>
      </c>
      <c r="D762" t="s">
        <v>66</v>
      </c>
      <c r="E762" t="s">
        <v>3480</v>
      </c>
      <c r="F762" t="s">
        <v>3481</v>
      </c>
      <c r="G762">
        <v>335</v>
      </c>
      <c r="H762" t="s">
        <v>63</v>
      </c>
      <c r="I762">
        <v>5</v>
      </c>
      <c r="J762" t="str">
        <f>HYPERLINK("Gene3454-zp_tree_all.dnd", "Gene3454-tree")</f>
        <v>Gene3454-tree</v>
      </c>
      <c r="K762">
        <v>5</v>
      </c>
      <c r="L762">
        <v>0</v>
      </c>
      <c r="M762">
        <v>4</v>
      </c>
      <c r="N762">
        <v>0</v>
      </c>
      <c r="O762">
        <v>0</v>
      </c>
      <c r="P762" t="s">
        <v>135</v>
      </c>
      <c r="Q762" t="s">
        <v>66</v>
      </c>
      <c r="R762" t="s">
        <v>66</v>
      </c>
      <c r="S762" t="s">
        <v>66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3</v>
      </c>
      <c r="AI762">
        <v>1</v>
      </c>
      <c r="AJ762">
        <v>10</v>
      </c>
      <c r="AK762">
        <v>0</v>
      </c>
      <c r="AL762">
        <v>3</v>
      </c>
      <c r="AM762">
        <v>0</v>
      </c>
      <c r="AN762" t="s">
        <v>68</v>
      </c>
      <c r="AO762" t="s">
        <v>68</v>
      </c>
      <c r="AP762">
        <v>0</v>
      </c>
      <c r="AQ762" t="s">
        <v>69</v>
      </c>
      <c r="AR762">
        <v>13</v>
      </c>
      <c r="AS762">
        <v>0</v>
      </c>
      <c r="AT762">
        <v>6.9699999999999996E-3</v>
      </c>
      <c r="AU762">
        <v>-1.1199999999999999E-3</v>
      </c>
      <c r="AV762">
        <v>2.9760000000000002E-2</v>
      </c>
      <c r="AW762">
        <v>-4.8300000000000001E-3</v>
      </c>
      <c r="AX762">
        <v>0</v>
      </c>
      <c r="AY762">
        <v>0</v>
      </c>
      <c r="AZ762">
        <v>0</v>
      </c>
      <c r="BA762">
        <v>1</v>
      </c>
      <c r="BB762" t="s">
        <v>70</v>
      </c>
      <c r="BC762">
        <v>-0.51200000000000001</v>
      </c>
      <c r="BD762">
        <v>-0.51200000000000001</v>
      </c>
      <c r="BE762" t="s">
        <v>71</v>
      </c>
    </row>
    <row r="763" spans="1:57">
      <c r="A763">
        <v>3455</v>
      </c>
      <c r="B763" t="s">
        <v>3482</v>
      </c>
      <c r="D763" t="s">
        <v>66</v>
      </c>
      <c r="E763" t="s">
        <v>3483</v>
      </c>
      <c r="F763" t="s">
        <v>3484</v>
      </c>
      <c r="G763">
        <v>340</v>
      </c>
      <c r="H763" t="s">
        <v>63</v>
      </c>
      <c r="I763">
        <v>5</v>
      </c>
      <c r="J763" t="str">
        <f>HYPERLINK("Gene3455-zp_tree_all.dnd", "Gene3455-tree")</f>
        <v>Gene3455-tree</v>
      </c>
      <c r="K763">
        <v>2</v>
      </c>
      <c r="L763">
        <v>3</v>
      </c>
      <c r="M763">
        <v>2</v>
      </c>
      <c r="N763">
        <v>3</v>
      </c>
      <c r="O763">
        <v>0.6</v>
      </c>
      <c r="P763" t="s">
        <v>124</v>
      </c>
      <c r="Q763" t="s">
        <v>86</v>
      </c>
      <c r="R763" t="s">
        <v>66</v>
      </c>
      <c r="S763" t="s">
        <v>66</v>
      </c>
      <c r="T763">
        <v>0</v>
      </c>
      <c r="U763">
        <v>0</v>
      </c>
      <c r="V763">
        <v>3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3</v>
      </c>
      <c r="AG763">
        <v>0</v>
      </c>
      <c r="AH763">
        <v>5</v>
      </c>
      <c r="AI763">
        <v>2</v>
      </c>
      <c r="AJ763">
        <v>12</v>
      </c>
      <c r="AK763">
        <v>3</v>
      </c>
      <c r="AL763">
        <v>16</v>
      </c>
      <c r="AM763">
        <v>0</v>
      </c>
      <c r="AN763" t="s">
        <v>3485</v>
      </c>
      <c r="AO763" t="s">
        <v>68</v>
      </c>
      <c r="AP763">
        <v>2.1070000000000002</v>
      </c>
      <c r="AQ763" t="s">
        <v>239</v>
      </c>
      <c r="AR763">
        <v>28</v>
      </c>
      <c r="AS763">
        <v>3</v>
      </c>
      <c r="AT763">
        <v>1.529E-2</v>
      </c>
      <c r="AU763">
        <v>-2.5200000000000001E-3</v>
      </c>
      <c r="AV763">
        <v>6.5129999999999993E-2</v>
      </c>
      <c r="AW763">
        <v>-1.158E-2</v>
      </c>
      <c r="AX763">
        <v>1.5299999999999999E-3</v>
      </c>
      <c r="AY763">
        <v>-2.4000000000000001E-4</v>
      </c>
      <c r="AZ763">
        <v>2.3470000000000001E-2</v>
      </c>
      <c r="BA763">
        <v>1</v>
      </c>
      <c r="BB763" t="s">
        <v>70</v>
      </c>
      <c r="BC763">
        <v>0.36199999999999999</v>
      </c>
      <c r="BD763">
        <v>0.36199999999999999</v>
      </c>
      <c r="BE763" t="s">
        <v>71</v>
      </c>
    </row>
    <row r="764" spans="1:57">
      <c r="A764">
        <v>3495</v>
      </c>
      <c r="B764" t="s">
        <v>3491</v>
      </c>
      <c r="D764" t="s">
        <v>66</v>
      </c>
      <c r="E764" t="s">
        <v>3492</v>
      </c>
      <c r="F764" t="s">
        <v>3493</v>
      </c>
      <c r="G764">
        <v>227</v>
      </c>
      <c r="H764" t="s">
        <v>63</v>
      </c>
      <c r="I764">
        <v>5</v>
      </c>
      <c r="J764" t="str">
        <f>HYPERLINK("Gene3495-zp_tree_all.dnd", "Gene3495-tree")</f>
        <v>Gene3495-tree</v>
      </c>
      <c r="K764">
        <v>3</v>
      </c>
      <c r="L764">
        <v>2</v>
      </c>
      <c r="M764">
        <v>2</v>
      </c>
      <c r="N764">
        <v>2</v>
      </c>
      <c r="O764">
        <v>0.5</v>
      </c>
      <c r="P764" t="s">
        <v>185</v>
      </c>
      <c r="Q764" t="s">
        <v>124</v>
      </c>
      <c r="R764" t="s">
        <v>66</v>
      </c>
      <c r="S764" t="s">
        <v>66</v>
      </c>
      <c r="T764">
        <v>1</v>
      </c>
      <c r="U764">
        <v>2</v>
      </c>
      <c r="V764">
        <v>4</v>
      </c>
      <c r="W764">
        <v>0.33333000000000002</v>
      </c>
      <c r="X764">
        <v>0</v>
      </c>
      <c r="Y764">
        <v>0</v>
      </c>
      <c r="Z764">
        <v>0</v>
      </c>
      <c r="AA764">
        <v>3</v>
      </c>
      <c r="AB764">
        <v>0</v>
      </c>
      <c r="AC764">
        <v>0</v>
      </c>
      <c r="AD764">
        <v>2</v>
      </c>
      <c r="AE764">
        <v>2</v>
      </c>
      <c r="AF764">
        <v>1</v>
      </c>
      <c r="AG764">
        <v>0.66666999999999998</v>
      </c>
      <c r="AH764">
        <v>4</v>
      </c>
      <c r="AI764">
        <v>1</v>
      </c>
      <c r="AJ764">
        <v>23</v>
      </c>
      <c r="AK764">
        <v>3</v>
      </c>
      <c r="AL764">
        <v>15</v>
      </c>
      <c r="AM764">
        <v>3</v>
      </c>
      <c r="AN764" t="s">
        <v>3494</v>
      </c>
      <c r="AO764" t="s">
        <v>3495</v>
      </c>
      <c r="AP764">
        <v>0.627</v>
      </c>
      <c r="AQ764" t="s">
        <v>69</v>
      </c>
      <c r="AR764">
        <v>38</v>
      </c>
      <c r="AS764">
        <v>6</v>
      </c>
      <c r="AT764">
        <v>3.524E-2</v>
      </c>
      <c r="AU764">
        <v>-5.5999999999999999E-3</v>
      </c>
      <c r="AV764">
        <v>0.13780999999999999</v>
      </c>
      <c r="AW764">
        <v>-2.155E-2</v>
      </c>
      <c r="AX764">
        <v>6.5100000000000002E-3</v>
      </c>
      <c r="AY764">
        <v>-9.3999999999999997E-4</v>
      </c>
      <c r="AZ764">
        <v>4.725E-2</v>
      </c>
      <c r="BA764">
        <v>1</v>
      </c>
      <c r="BB764" t="s">
        <v>70</v>
      </c>
      <c r="BC764">
        <v>0.78300000000000003</v>
      </c>
      <c r="BD764">
        <v>7.8E-2</v>
      </c>
      <c r="BE764" t="s">
        <v>71</v>
      </c>
    </row>
    <row r="765" spans="1:57">
      <c r="A765">
        <v>3499</v>
      </c>
      <c r="B765" t="s">
        <v>3500</v>
      </c>
      <c r="D765" t="s">
        <v>66</v>
      </c>
      <c r="E765" t="s">
        <v>3501</v>
      </c>
      <c r="F765" t="s">
        <v>3502</v>
      </c>
      <c r="G765">
        <v>161</v>
      </c>
      <c r="H765" t="s">
        <v>63</v>
      </c>
      <c r="I765">
        <v>5</v>
      </c>
      <c r="J765" t="str">
        <f>HYPERLINK("Gene3499-zp_tree_all.dnd", "Gene3499-tree")</f>
        <v>Gene3499-tree</v>
      </c>
      <c r="K765">
        <v>2</v>
      </c>
      <c r="L765">
        <v>3</v>
      </c>
      <c r="M765">
        <v>2</v>
      </c>
      <c r="N765">
        <v>2</v>
      </c>
      <c r="O765">
        <v>0.5</v>
      </c>
      <c r="P765" t="s">
        <v>124</v>
      </c>
      <c r="Q765" t="s">
        <v>185</v>
      </c>
      <c r="R765">
        <v>0.30599999999999999</v>
      </c>
      <c r="S765" t="s">
        <v>69</v>
      </c>
      <c r="T765">
        <v>0</v>
      </c>
      <c r="U765">
        <v>0</v>
      </c>
      <c r="V765">
        <v>2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2</v>
      </c>
      <c r="AG765">
        <v>0</v>
      </c>
      <c r="AH765">
        <v>4</v>
      </c>
      <c r="AI765">
        <v>1</v>
      </c>
      <c r="AJ765">
        <v>12</v>
      </c>
      <c r="AK765">
        <v>2</v>
      </c>
      <c r="AL765">
        <v>11</v>
      </c>
      <c r="AM765">
        <v>0</v>
      </c>
      <c r="AN765" t="s">
        <v>3503</v>
      </c>
      <c r="AO765" t="s">
        <v>68</v>
      </c>
      <c r="AP765">
        <v>1.18</v>
      </c>
      <c r="AQ765" t="s">
        <v>69</v>
      </c>
      <c r="AR765">
        <v>23</v>
      </c>
      <c r="AS765">
        <v>2</v>
      </c>
      <c r="AT765">
        <v>2.9860000000000001E-2</v>
      </c>
      <c r="AU765">
        <v>-4.9500000000000004E-3</v>
      </c>
      <c r="AV765">
        <v>0.14938000000000001</v>
      </c>
      <c r="AW765">
        <v>-2.8150000000000001E-2</v>
      </c>
      <c r="AX765">
        <v>2.64E-3</v>
      </c>
      <c r="AY765">
        <v>-6.2E-4</v>
      </c>
      <c r="AZ765">
        <v>1.7680000000000001E-2</v>
      </c>
      <c r="BA765">
        <v>1</v>
      </c>
      <c r="BB765" t="s">
        <v>70</v>
      </c>
      <c r="BC765">
        <v>0.372</v>
      </c>
      <c r="BD765">
        <v>0.372</v>
      </c>
      <c r="BE765" t="s">
        <v>71</v>
      </c>
    </row>
    <row r="766" spans="1:57">
      <c r="A766">
        <v>3535</v>
      </c>
      <c r="B766" t="s">
        <v>3523</v>
      </c>
      <c r="D766" t="s">
        <v>66</v>
      </c>
      <c r="E766" t="s">
        <v>3524</v>
      </c>
      <c r="F766" t="s">
        <v>3525</v>
      </c>
      <c r="G766">
        <v>316</v>
      </c>
      <c r="H766" t="s">
        <v>63</v>
      </c>
      <c r="I766">
        <v>5</v>
      </c>
      <c r="J766" t="str">
        <f>HYPERLINK("Gene3535-zp_tree_all.dnd", "Gene3535-tree")</f>
        <v>Gene3535-tree</v>
      </c>
      <c r="K766">
        <v>5</v>
      </c>
      <c r="L766">
        <v>0</v>
      </c>
      <c r="M766">
        <v>5</v>
      </c>
      <c r="N766">
        <v>0</v>
      </c>
      <c r="O766">
        <v>0</v>
      </c>
      <c r="P766" t="s">
        <v>96</v>
      </c>
      <c r="Q766" t="s">
        <v>66</v>
      </c>
      <c r="R766" t="s">
        <v>66</v>
      </c>
      <c r="S766" t="s">
        <v>66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5</v>
      </c>
      <c r="AI766">
        <v>2</v>
      </c>
      <c r="AJ766">
        <v>21</v>
      </c>
      <c r="AK766">
        <v>0</v>
      </c>
      <c r="AL766">
        <v>30</v>
      </c>
      <c r="AM766">
        <v>1</v>
      </c>
      <c r="AN766" t="s">
        <v>68</v>
      </c>
      <c r="AO766" t="s">
        <v>3526</v>
      </c>
      <c r="AP766">
        <v>0.96299999999999997</v>
      </c>
      <c r="AQ766" t="s">
        <v>69</v>
      </c>
      <c r="AR766">
        <v>51</v>
      </c>
      <c r="AS766">
        <v>1</v>
      </c>
      <c r="AT766">
        <v>2.69E-2</v>
      </c>
      <c r="AU766">
        <v>-4.28E-3</v>
      </c>
      <c r="AV766">
        <v>0.12792000000000001</v>
      </c>
      <c r="AW766">
        <v>-2.1000000000000001E-2</v>
      </c>
      <c r="AX766">
        <v>8.1999999999999998E-4</v>
      </c>
      <c r="AY766">
        <v>-2.0000000000000001E-4</v>
      </c>
      <c r="AZ766">
        <v>6.4200000000000004E-3</v>
      </c>
      <c r="BA766">
        <v>1</v>
      </c>
      <c r="BB766" t="s">
        <v>70</v>
      </c>
      <c r="BC766">
        <v>0.80500000000000005</v>
      </c>
      <c r="BD766">
        <v>0.51100000000000001</v>
      </c>
      <c r="BE766" t="s">
        <v>71</v>
      </c>
    </row>
    <row r="767" spans="1:57">
      <c r="A767">
        <v>3536</v>
      </c>
      <c r="B767" t="s">
        <v>3527</v>
      </c>
      <c r="D767" t="s">
        <v>66</v>
      </c>
      <c r="E767" t="s">
        <v>3528</v>
      </c>
      <c r="F767" t="s">
        <v>74</v>
      </c>
      <c r="G767">
        <v>317</v>
      </c>
      <c r="H767" t="s">
        <v>63</v>
      </c>
      <c r="I767">
        <v>5</v>
      </c>
      <c r="J767" t="str">
        <f>HYPERLINK("Gene3536-zp_tree_all.dnd", "Gene3536-tree")</f>
        <v>Gene3536-tree</v>
      </c>
      <c r="K767">
        <v>3</v>
      </c>
      <c r="L767">
        <v>2</v>
      </c>
      <c r="M767">
        <v>3</v>
      </c>
      <c r="N767">
        <v>2</v>
      </c>
      <c r="O767">
        <v>0.4</v>
      </c>
      <c r="P767" t="s">
        <v>86</v>
      </c>
      <c r="Q767" t="s">
        <v>124</v>
      </c>
      <c r="R767" t="s">
        <v>66</v>
      </c>
      <c r="S767" t="s">
        <v>66</v>
      </c>
      <c r="T767">
        <v>0</v>
      </c>
      <c r="U767">
        <v>0</v>
      </c>
      <c r="V767">
        <v>8</v>
      </c>
      <c r="W767">
        <v>0</v>
      </c>
      <c r="X767">
        <v>0</v>
      </c>
      <c r="Y767">
        <v>0</v>
      </c>
      <c r="Z767">
        <v>0</v>
      </c>
      <c r="AA767">
        <v>2</v>
      </c>
      <c r="AB767">
        <v>0</v>
      </c>
      <c r="AC767">
        <v>0</v>
      </c>
      <c r="AD767">
        <v>0</v>
      </c>
      <c r="AE767">
        <v>0</v>
      </c>
      <c r="AF767">
        <v>6</v>
      </c>
      <c r="AG767">
        <v>0</v>
      </c>
      <c r="AH767">
        <v>5</v>
      </c>
      <c r="AI767">
        <v>2</v>
      </c>
      <c r="AJ767">
        <v>37</v>
      </c>
      <c r="AK767">
        <v>6</v>
      </c>
      <c r="AL767">
        <v>24</v>
      </c>
      <c r="AM767">
        <v>2</v>
      </c>
      <c r="AN767" t="s">
        <v>3529</v>
      </c>
      <c r="AO767" t="s">
        <v>3530</v>
      </c>
      <c r="AP767">
        <v>0.42199999999999999</v>
      </c>
      <c r="AQ767" t="s">
        <v>69</v>
      </c>
      <c r="AR767">
        <v>61</v>
      </c>
      <c r="AS767">
        <v>8</v>
      </c>
      <c r="AT767">
        <v>3.3860000000000001E-2</v>
      </c>
      <c r="AU767">
        <v>-4.9500000000000004E-3</v>
      </c>
      <c r="AV767">
        <v>0.14371</v>
      </c>
      <c r="AW767">
        <v>-2.299E-2</v>
      </c>
      <c r="AX767">
        <v>4.9699999999999996E-3</v>
      </c>
      <c r="AY767">
        <v>-1.0200000000000001E-3</v>
      </c>
      <c r="AZ767">
        <v>3.4610000000000002E-2</v>
      </c>
      <c r="BA767">
        <v>1</v>
      </c>
      <c r="BB767" t="s">
        <v>70</v>
      </c>
      <c r="BC767">
        <v>0.124</v>
      </c>
      <c r="BD767">
        <v>2.9000000000000001E-2</v>
      </c>
      <c r="BE767" t="s">
        <v>71</v>
      </c>
    </row>
    <row r="768" spans="1:57">
      <c r="A768">
        <v>3537</v>
      </c>
      <c r="B768" t="s">
        <v>3531</v>
      </c>
      <c r="D768" t="s">
        <v>66</v>
      </c>
      <c r="E768" t="s">
        <v>3532</v>
      </c>
      <c r="F768" t="s">
        <v>3533</v>
      </c>
      <c r="G768">
        <v>295</v>
      </c>
      <c r="H768" t="s">
        <v>85</v>
      </c>
      <c r="I768">
        <v>4</v>
      </c>
      <c r="J768" t="str">
        <f>HYPERLINK("Gene3537-zp_tree_all.dnd", "Gene3537-tree")</f>
        <v>Gene3537-tree</v>
      </c>
      <c r="K768">
        <v>3</v>
      </c>
      <c r="L768">
        <v>1</v>
      </c>
      <c r="M768">
        <v>3</v>
      </c>
      <c r="N768">
        <v>1</v>
      </c>
      <c r="O768">
        <v>0.25</v>
      </c>
      <c r="P768" t="s">
        <v>86</v>
      </c>
      <c r="Q768" t="s">
        <v>65</v>
      </c>
      <c r="R768" t="s">
        <v>66</v>
      </c>
      <c r="S768" t="s">
        <v>66</v>
      </c>
      <c r="T768">
        <v>0</v>
      </c>
      <c r="U768">
        <v>0</v>
      </c>
      <c r="V768">
        <v>4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4</v>
      </c>
      <c r="AG768">
        <v>0</v>
      </c>
      <c r="AH768">
        <v>4</v>
      </c>
      <c r="AI768">
        <v>1</v>
      </c>
      <c r="AJ768">
        <v>46</v>
      </c>
      <c r="AK768">
        <v>5</v>
      </c>
      <c r="AL768">
        <v>3</v>
      </c>
      <c r="AM768">
        <v>0</v>
      </c>
      <c r="AN768" t="s">
        <v>3534</v>
      </c>
      <c r="AO768" t="s">
        <v>68</v>
      </c>
      <c r="AP768">
        <v>0.48</v>
      </c>
      <c r="AQ768" t="s">
        <v>69</v>
      </c>
      <c r="AR768">
        <v>49</v>
      </c>
      <c r="AS768">
        <v>5</v>
      </c>
      <c r="AT768">
        <v>3.0700000000000002E-2</v>
      </c>
      <c r="AU768">
        <v>-7.6699999999999997E-3</v>
      </c>
      <c r="AV768">
        <v>0.13982</v>
      </c>
      <c r="AW768">
        <v>-3.4770000000000002E-2</v>
      </c>
      <c r="AX768">
        <v>3.6700000000000001E-3</v>
      </c>
      <c r="AY768">
        <v>-1.5E-3</v>
      </c>
      <c r="AZ768">
        <v>2.622E-2</v>
      </c>
      <c r="BA768">
        <v>1</v>
      </c>
      <c r="BB768" t="s">
        <v>70</v>
      </c>
      <c r="BC768">
        <v>-0.628</v>
      </c>
      <c r="BD768">
        <v>-0.628</v>
      </c>
      <c r="BE768" t="s">
        <v>71</v>
      </c>
    </row>
    <row r="769" spans="1:57">
      <c r="A769">
        <v>3539</v>
      </c>
      <c r="B769" t="s">
        <v>3535</v>
      </c>
      <c r="D769" t="s">
        <v>66</v>
      </c>
      <c r="E769" t="s">
        <v>3536</v>
      </c>
      <c r="F769" t="s">
        <v>716</v>
      </c>
      <c r="G769">
        <v>316</v>
      </c>
      <c r="H769" t="s">
        <v>85</v>
      </c>
      <c r="I769">
        <v>4</v>
      </c>
      <c r="J769" t="str">
        <f>HYPERLINK("Gene3539-zp_tree_all.dnd", "Gene3539-tree")</f>
        <v>Gene3539-tree</v>
      </c>
      <c r="K769">
        <v>3</v>
      </c>
      <c r="L769">
        <v>1</v>
      </c>
      <c r="M769">
        <v>3</v>
      </c>
      <c r="N769">
        <v>1</v>
      </c>
      <c r="O769">
        <v>0.25</v>
      </c>
      <c r="P769" t="s">
        <v>86</v>
      </c>
      <c r="Q769" t="s">
        <v>65</v>
      </c>
      <c r="R769" t="s">
        <v>66</v>
      </c>
      <c r="S769" t="s">
        <v>66</v>
      </c>
      <c r="T769">
        <v>0</v>
      </c>
      <c r="U769">
        <v>0</v>
      </c>
      <c r="V769">
        <v>2</v>
      </c>
      <c r="W769">
        <v>0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1</v>
      </c>
      <c r="AG769">
        <v>0</v>
      </c>
      <c r="AH769">
        <v>3</v>
      </c>
      <c r="AI769">
        <v>1</v>
      </c>
      <c r="AJ769">
        <v>41</v>
      </c>
      <c r="AK769">
        <v>1</v>
      </c>
      <c r="AL769">
        <v>10</v>
      </c>
      <c r="AM769">
        <v>1</v>
      </c>
      <c r="AN769" t="s">
        <v>3537</v>
      </c>
      <c r="AO769" t="s">
        <v>3538</v>
      </c>
      <c r="AP769">
        <v>1.9770000000000001</v>
      </c>
      <c r="AQ769" t="s">
        <v>69</v>
      </c>
      <c r="AR769">
        <v>51</v>
      </c>
      <c r="AS769">
        <v>2</v>
      </c>
      <c r="AT769">
        <v>2.954E-2</v>
      </c>
      <c r="AU769">
        <v>-6.45E-3</v>
      </c>
      <c r="AV769">
        <v>0.13552</v>
      </c>
      <c r="AW769">
        <v>-3.175E-2</v>
      </c>
      <c r="AX769">
        <v>1.6100000000000001E-3</v>
      </c>
      <c r="AY769">
        <v>-3.8999999999999999E-4</v>
      </c>
      <c r="AZ769">
        <v>1.188E-2</v>
      </c>
      <c r="BA769">
        <v>1</v>
      </c>
      <c r="BB769" t="s">
        <v>70</v>
      </c>
      <c r="BC769">
        <v>-0.13300000000000001</v>
      </c>
      <c r="BD769">
        <v>-0.317</v>
      </c>
      <c r="BE769" t="s">
        <v>71</v>
      </c>
    </row>
    <row r="770" spans="1:57">
      <c r="A770">
        <v>3541</v>
      </c>
      <c r="B770" t="s">
        <v>3539</v>
      </c>
      <c r="D770" t="s">
        <v>66</v>
      </c>
      <c r="E770" t="s">
        <v>3540</v>
      </c>
      <c r="F770" t="s">
        <v>3541</v>
      </c>
      <c r="G770">
        <v>484</v>
      </c>
      <c r="H770" t="s">
        <v>85</v>
      </c>
      <c r="I770">
        <v>4</v>
      </c>
      <c r="J770" t="str">
        <f>HYPERLINK("Gene3541-zp_tree_all.dnd", "Gene3541-tree")</f>
        <v>Gene3541-tree</v>
      </c>
      <c r="K770">
        <v>0</v>
      </c>
      <c r="L770">
        <v>4</v>
      </c>
      <c r="M770">
        <v>0</v>
      </c>
      <c r="N770">
        <v>4</v>
      </c>
      <c r="O770">
        <v>1</v>
      </c>
      <c r="P770" t="s">
        <v>66</v>
      </c>
      <c r="Q770" t="s">
        <v>64</v>
      </c>
      <c r="R770" t="s">
        <v>66</v>
      </c>
      <c r="S770" t="s">
        <v>66</v>
      </c>
      <c r="T770">
        <v>0</v>
      </c>
      <c r="U770">
        <v>0</v>
      </c>
      <c r="V770">
        <v>10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10</v>
      </c>
      <c r="AG770">
        <v>0</v>
      </c>
      <c r="AH770">
        <v>4</v>
      </c>
      <c r="AI770">
        <v>1</v>
      </c>
      <c r="AJ770">
        <v>65</v>
      </c>
      <c r="AK770">
        <v>9</v>
      </c>
      <c r="AL770">
        <v>4</v>
      </c>
      <c r="AM770">
        <v>1</v>
      </c>
      <c r="AN770" t="s">
        <v>3542</v>
      </c>
      <c r="AO770" t="s">
        <v>3543</v>
      </c>
      <c r="AP770">
        <v>0.83199999999999996</v>
      </c>
      <c r="AQ770" t="s">
        <v>69</v>
      </c>
      <c r="AR770">
        <v>69</v>
      </c>
      <c r="AS770">
        <v>10</v>
      </c>
      <c r="AT770">
        <v>2.7320000000000001E-2</v>
      </c>
      <c r="AU770">
        <v>-7.2899999999999996E-3</v>
      </c>
      <c r="AV770">
        <v>0.11771</v>
      </c>
      <c r="AW770">
        <v>-3.4709999999999998E-2</v>
      </c>
      <c r="AX770">
        <v>4.62E-3</v>
      </c>
      <c r="AY770">
        <v>-7.1000000000000002E-4</v>
      </c>
      <c r="AZ770">
        <v>3.9230000000000001E-2</v>
      </c>
      <c r="BA770">
        <v>1</v>
      </c>
      <c r="BB770" t="s">
        <v>70</v>
      </c>
      <c r="BC770">
        <v>-0.57999999999999996</v>
      </c>
      <c r="BD770">
        <v>-0.82899999999999996</v>
      </c>
      <c r="BE770" t="s">
        <v>71</v>
      </c>
    </row>
    <row r="771" spans="1:57">
      <c r="A771">
        <v>3578</v>
      </c>
      <c r="B771" t="s">
        <v>3544</v>
      </c>
      <c r="D771" t="s">
        <v>66</v>
      </c>
      <c r="E771" t="s">
        <v>3545</v>
      </c>
      <c r="F771" t="s">
        <v>3546</v>
      </c>
      <c r="G771">
        <v>76</v>
      </c>
      <c r="H771" t="s">
        <v>63</v>
      </c>
      <c r="I771">
        <v>5</v>
      </c>
      <c r="J771" t="str">
        <f>HYPERLINK("Gene3578-zp_tree_all.dnd", "Gene3578-tree")</f>
        <v>Gene3578-tree</v>
      </c>
      <c r="K771">
        <v>4</v>
      </c>
      <c r="L771">
        <v>1</v>
      </c>
      <c r="M771">
        <v>3</v>
      </c>
      <c r="N771">
        <v>1</v>
      </c>
      <c r="O771">
        <v>0.25</v>
      </c>
      <c r="P771" t="s">
        <v>112</v>
      </c>
      <c r="Q771" t="s">
        <v>65</v>
      </c>
      <c r="R771" t="s">
        <v>66</v>
      </c>
      <c r="S771" t="s">
        <v>66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1</v>
      </c>
      <c r="AG771">
        <v>0</v>
      </c>
      <c r="AH771">
        <v>3</v>
      </c>
      <c r="AI771">
        <v>1</v>
      </c>
      <c r="AJ771">
        <v>4</v>
      </c>
      <c r="AK771">
        <v>1</v>
      </c>
      <c r="AL771">
        <v>4</v>
      </c>
      <c r="AM771">
        <v>0</v>
      </c>
      <c r="AN771" t="s">
        <v>3547</v>
      </c>
      <c r="AO771" t="s">
        <v>68</v>
      </c>
      <c r="AP771">
        <v>0.69299999999999995</v>
      </c>
      <c r="AQ771" t="s">
        <v>69</v>
      </c>
      <c r="AR771">
        <v>8</v>
      </c>
      <c r="AS771">
        <v>1</v>
      </c>
      <c r="AT771">
        <v>2.266E-2</v>
      </c>
      <c r="AU771">
        <v>-3.79E-3</v>
      </c>
      <c r="AV771">
        <v>8.0060000000000006E-2</v>
      </c>
      <c r="AW771">
        <v>-1.4840000000000001E-2</v>
      </c>
      <c r="AX771">
        <v>4.9199999999999999E-3</v>
      </c>
      <c r="AY771">
        <v>-1.4400000000000001E-3</v>
      </c>
      <c r="AZ771">
        <v>6.1440000000000002E-2</v>
      </c>
      <c r="BA771">
        <v>1</v>
      </c>
      <c r="BB771" t="s">
        <v>70</v>
      </c>
      <c r="BC771">
        <v>0.13200000000000001</v>
      </c>
      <c r="BD771">
        <v>0.13200000000000001</v>
      </c>
      <c r="BE771" t="s">
        <v>71</v>
      </c>
    </row>
    <row r="772" spans="1:57">
      <c r="A772">
        <v>3584</v>
      </c>
      <c r="B772" t="s">
        <v>3548</v>
      </c>
      <c r="D772" t="s">
        <v>66</v>
      </c>
      <c r="E772" t="s">
        <v>3549</v>
      </c>
      <c r="F772" t="s">
        <v>3550</v>
      </c>
      <c r="G772">
        <v>296</v>
      </c>
      <c r="H772" t="s">
        <v>63</v>
      </c>
      <c r="I772">
        <v>5</v>
      </c>
      <c r="J772" t="str">
        <f>HYPERLINK("Gene3584-zp_tree_all.dnd", "Gene3584-tree")</f>
        <v>Gene3584-tree</v>
      </c>
      <c r="K772">
        <v>2</v>
      </c>
      <c r="L772">
        <v>3</v>
      </c>
      <c r="M772">
        <v>2</v>
      </c>
      <c r="N772">
        <v>3</v>
      </c>
      <c r="O772">
        <v>0.6</v>
      </c>
      <c r="P772" t="s">
        <v>124</v>
      </c>
      <c r="Q772" t="s">
        <v>86</v>
      </c>
      <c r="R772" t="s">
        <v>66</v>
      </c>
      <c r="S772" t="s">
        <v>66</v>
      </c>
      <c r="T772">
        <v>0</v>
      </c>
      <c r="U772">
        <v>0</v>
      </c>
      <c r="V772">
        <v>8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8</v>
      </c>
      <c r="AG772">
        <v>0</v>
      </c>
      <c r="AH772">
        <v>5</v>
      </c>
      <c r="AI772">
        <v>2</v>
      </c>
      <c r="AJ772">
        <v>23</v>
      </c>
      <c r="AK772">
        <v>4</v>
      </c>
      <c r="AL772">
        <v>21</v>
      </c>
      <c r="AM772">
        <v>4</v>
      </c>
      <c r="AN772" t="s">
        <v>3551</v>
      </c>
      <c r="AO772" t="s">
        <v>3552</v>
      </c>
      <c r="AP772">
        <v>3.4000000000000002E-2</v>
      </c>
      <c r="AQ772" t="s">
        <v>69</v>
      </c>
      <c r="AR772">
        <v>44</v>
      </c>
      <c r="AS772">
        <v>8</v>
      </c>
      <c r="AT772">
        <v>2.8830000000000001E-2</v>
      </c>
      <c r="AU772">
        <v>-4.96E-3</v>
      </c>
      <c r="AV772">
        <v>0.11498</v>
      </c>
      <c r="AW772">
        <v>-2.018E-2</v>
      </c>
      <c r="AX772">
        <v>5.9100000000000003E-3</v>
      </c>
      <c r="AY772">
        <v>-1.1299999999999999E-3</v>
      </c>
      <c r="AZ772">
        <v>5.1369999999999999E-2</v>
      </c>
      <c r="BA772">
        <v>1</v>
      </c>
      <c r="BB772" t="s">
        <v>70</v>
      </c>
      <c r="BC772">
        <v>0.34499999999999997</v>
      </c>
      <c r="BD772">
        <v>0.34499999999999997</v>
      </c>
      <c r="BE772" t="s">
        <v>71</v>
      </c>
    </row>
    <row r="773" spans="1:57">
      <c r="A773">
        <v>3585</v>
      </c>
      <c r="B773" t="s">
        <v>3553</v>
      </c>
      <c r="D773" t="s">
        <v>66</v>
      </c>
      <c r="E773" t="s">
        <v>3554</v>
      </c>
      <c r="F773" t="s">
        <v>3555</v>
      </c>
      <c r="G773">
        <v>228</v>
      </c>
      <c r="H773" t="s">
        <v>63</v>
      </c>
      <c r="I773">
        <v>5</v>
      </c>
      <c r="J773" t="str">
        <f>HYPERLINK("Gene3585-zp_tree_all.dnd", "Gene3585-tree")</f>
        <v>Gene3585-tree</v>
      </c>
      <c r="K773">
        <v>5</v>
      </c>
      <c r="L773">
        <v>0</v>
      </c>
      <c r="M773">
        <v>5</v>
      </c>
      <c r="N773">
        <v>0</v>
      </c>
      <c r="O773">
        <v>0</v>
      </c>
      <c r="P773" t="s">
        <v>96</v>
      </c>
      <c r="Q773" t="s">
        <v>66</v>
      </c>
      <c r="R773" t="s">
        <v>66</v>
      </c>
      <c r="S773" t="s">
        <v>66</v>
      </c>
      <c r="T773">
        <v>0</v>
      </c>
      <c r="U773">
        <v>0</v>
      </c>
      <c r="V773">
        <v>2</v>
      </c>
      <c r="W773">
        <v>0</v>
      </c>
      <c r="X773">
        <v>0</v>
      </c>
      <c r="Y773">
        <v>0</v>
      </c>
      <c r="Z773">
        <v>0</v>
      </c>
      <c r="AA773">
        <v>2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5</v>
      </c>
      <c r="AI773">
        <v>2</v>
      </c>
      <c r="AJ773">
        <v>25</v>
      </c>
      <c r="AK773">
        <v>0</v>
      </c>
      <c r="AL773">
        <v>17</v>
      </c>
      <c r="AM773">
        <v>3</v>
      </c>
      <c r="AN773" t="s">
        <v>68</v>
      </c>
      <c r="AO773" t="s">
        <v>3556</v>
      </c>
      <c r="AP773">
        <v>0.98399999999999999</v>
      </c>
      <c r="AQ773" t="s">
        <v>69</v>
      </c>
      <c r="AR773">
        <v>42</v>
      </c>
      <c r="AS773">
        <v>3</v>
      </c>
      <c r="AT773">
        <v>3.1140000000000001E-2</v>
      </c>
      <c r="AU773">
        <v>-4.5700000000000003E-3</v>
      </c>
      <c r="AV773">
        <v>0.13772000000000001</v>
      </c>
      <c r="AW773">
        <v>-1.9959999999999999E-2</v>
      </c>
      <c r="AX773">
        <v>3.4299999999999999E-3</v>
      </c>
      <c r="AY773">
        <v>-8.1999999999999998E-4</v>
      </c>
      <c r="AZ773">
        <v>2.4930000000000001E-2</v>
      </c>
      <c r="BA773">
        <v>1</v>
      </c>
      <c r="BB773" t="s">
        <v>70</v>
      </c>
      <c r="BC773">
        <v>0.61899999999999999</v>
      </c>
      <c r="BD773">
        <v>0.27500000000000002</v>
      </c>
      <c r="BE773" t="s">
        <v>71</v>
      </c>
    </row>
    <row r="774" spans="1:57">
      <c r="A774">
        <v>3588</v>
      </c>
      <c r="B774" t="s">
        <v>3557</v>
      </c>
      <c r="D774" t="s">
        <v>66</v>
      </c>
      <c r="E774" t="s">
        <v>3558</v>
      </c>
      <c r="F774" t="s">
        <v>3559</v>
      </c>
      <c r="G774">
        <v>841</v>
      </c>
      <c r="H774" t="s">
        <v>85</v>
      </c>
      <c r="I774">
        <v>4</v>
      </c>
      <c r="J774" t="str">
        <f>HYPERLINK("Gene3588-zp_tree_all.dnd", "Gene3588-tree")</f>
        <v>Gene3588-tree</v>
      </c>
      <c r="K774">
        <v>2</v>
      </c>
      <c r="L774">
        <v>2</v>
      </c>
      <c r="M774">
        <v>2</v>
      </c>
      <c r="N774">
        <v>2</v>
      </c>
      <c r="O774">
        <v>0.5</v>
      </c>
      <c r="P774" t="s">
        <v>124</v>
      </c>
      <c r="Q774" t="s">
        <v>124</v>
      </c>
      <c r="R774" t="s">
        <v>66</v>
      </c>
      <c r="S774" t="s">
        <v>66</v>
      </c>
      <c r="T774">
        <v>0</v>
      </c>
      <c r="U774">
        <v>0</v>
      </c>
      <c r="V774">
        <v>17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17</v>
      </c>
      <c r="AG774">
        <v>0</v>
      </c>
      <c r="AH774">
        <v>4</v>
      </c>
      <c r="AI774">
        <v>1</v>
      </c>
      <c r="AJ774">
        <v>117</v>
      </c>
      <c r="AK774">
        <v>17</v>
      </c>
      <c r="AL774">
        <v>16</v>
      </c>
      <c r="AM774">
        <v>0</v>
      </c>
      <c r="AN774" t="s">
        <v>3560</v>
      </c>
      <c r="AO774" t="s">
        <v>68</v>
      </c>
      <c r="AP774">
        <v>0.48699999999999999</v>
      </c>
      <c r="AQ774" t="s">
        <v>69</v>
      </c>
      <c r="AR774">
        <v>133</v>
      </c>
      <c r="AS774">
        <v>17</v>
      </c>
      <c r="AT774">
        <v>2.9329999999999998E-2</v>
      </c>
      <c r="AU774">
        <v>-8.1499999999999993E-3</v>
      </c>
      <c r="AV774">
        <v>0.13216</v>
      </c>
      <c r="AW774">
        <v>-3.6740000000000002E-2</v>
      </c>
      <c r="AX774">
        <v>4.3600000000000002E-3</v>
      </c>
      <c r="AY774">
        <v>-1.64E-3</v>
      </c>
      <c r="AZ774">
        <v>3.2969999999999999E-2</v>
      </c>
      <c r="BA774">
        <v>1</v>
      </c>
      <c r="BB774" t="s">
        <v>70</v>
      </c>
      <c r="BC774">
        <v>-0.32400000000000001</v>
      </c>
      <c r="BD774">
        <v>-0.66700000000000004</v>
      </c>
      <c r="BE774" t="s">
        <v>71</v>
      </c>
    </row>
    <row r="775" spans="1:57">
      <c r="A775">
        <v>3589</v>
      </c>
      <c r="B775" t="s">
        <v>3561</v>
      </c>
      <c r="D775" t="s">
        <v>66</v>
      </c>
      <c r="E775" t="s">
        <v>3562</v>
      </c>
      <c r="F775" t="s">
        <v>3563</v>
      </c>
      <c r="G775">
        <v>189</v>
      </c>
      <c r="H775" t="s">
        <v>63</v>
      </c>
      <c r="I775">
        <v>5</v>
      </c>
      <c r="J775" t="str">
        <f>HYPERLINK("Gene3589-zp_tree_all.dnd", "Gene3589-tree")</f>
        <v>Gene3589-tree</v>
      </c>
      <c r="K775">
        <v>4</v>
      </c>
      <c r="L775">
        <v>1</v>
      </c>
      <c r="M775">
        <v>3</v>
      </c>
      <c r="N775">
        <v>1</v>
      </c>
      <c r="O775">
        <v>0.25</v>
      </c>
      <c r="P775" t="s">
        <v>112</v>
      </c>
      <c r="Q775" t="s">
        <v>65</v>
      </c>
      <c r="R775" t="s">
        <v>66</v>
      </c>
      <c r="S775" t="s">
        <v>66</v>
      </c>
      <c r="T775">
        <v>0</v>
      </c>
      <c r="U775">
        <v>0</v>
      </c>
      <c r="V775">
        <v>5</v>
      </c>
      <c r="W775">
        <v>0</v>
      </c>
      <c r="X775">
        <v>0</v>
      </c>
      <c r="Y775">
        <v>0</v>
      </c>
      <c r="Z775">
        <v>0</v>
      </c>
      <c r="AA775">
        <v>4</v>
      </c>
      <c r="AB775">
        <v>0</v>
      </c>
      <c r="AC775">
        <v>0</v>
      </c>
      <c r="AD775">
        <v>0</v>
      </c>
      <c r="AE775">
        <v>0</v>
      </c>
      <c r="AF775">
        <v>1</v>
      </c>
      <c r="AG775">
        <v>0</v>
      </c>
      <c r="AH775">
        <v>4</v>
      </c>
      <c r="AI775">
        <v>1</v>
      </c>
      <c r="AJ775">
        <v>15</v>
      </c>
      <c r="AK775">
        <v>1</v>
      </c>
      <c r="AL775">
        <v>6</v>
      </c>
      <c r="AM775">
        <v>4</v>
      </c>
      <c r="AN775" t="s">
        <v>3564</v>
      </c>
      <c r="AO775" t="s">
        <v>3565</v>
      </c>
      <c r="AP775">
        <v>5.0780000000000003</v>
      </c>
      <c r="AQ775" t="s">
        <v>69</v>
      </c>
      <c r="AR775">
        <v>21</v>
      </c>
      <c r="AS775">
        <v>5</v>
      </c>
      <c r="AT775">
        <v>2.469E-2</v>
      </c>
      <c r="AU775">
        <v>-4.1200000000000004E-3</v>
      </c>
      <c r="AV775">
        <v>9.8309999999999995E-2</v>
      </c>
      <c r="AW775">
        <v>-1.5299999999999999E-2</v>
      </c>
      <c r="AX775">
        <v>7.11E-3</v>
      </c>
      <c r="AY775">
        <v>-1.34E-3</v>
      </c>
      <c r="AZ775">
        <v>7.2319999999999995E-2</v>
      </c>
      <c r="BA775">
        <v>1</v>
      </c>
      <c r="BB775" t="s">
        <v>70</v>
      </c>
      <c r="BC775">
        <v>0.245</v>
      </c>
      <c r="BD775">
        <v>-7.6999999999999999E-2</v>
      </c>
      <c r="BE775" t="s">
        <v>71</v>
      </c>
    </row>
    <row r="776" spans="1:57">
      <c r="A776">
        <v>3596</v>
      </c>
      <c r="B776" t="s">
        <v>3571</v>
      </c>
      <c r="D776" t="s">
        <v>66</v>
      </c>
      <c r="E776" t="s">
        <v>3572</v>
      </c>
      <c r="F776" t="s">
        <v>3573</v>
      </c>
      <c r="G776">
        <v>74</v>
      </c>
      <c r="H776" t="s">
        <v>63</v>
      </c>
      <c r="I776">
        <v>5</v>
      </c>
      <c r="J776" t="str">
        <f>HYPERLINK("Gene3596-zp_tree_all.dnd", "Gene3596-tree")</f>
        <v>Gene3596-tree</v>
      </c>
      <c r="K776">
        <v>2</v>
      </c>
      <c r="L776">
        <v>3</v>
      </c>
      <c r="M776">
        <v>2</v>
      </c>
      <c r="N776">
        <v>3</v>
      </c>
      <c r="O776">
        <v>0.6</v>
      </c>
      <c r="P776" t="s">
        <v>124</v>
      </c>
      <c r="Q776" t="s">
        <v>86</v>
      </c>
      <c r="R776" t="s">
        <v>66</v>
      </c>
      <c r="S776" t="s">
        <v>66</v>
      </c>
      <c r="T776">
        <v>0</v>
      </c>
      <c r="U776">
        <v>0</v>
      </c>
      <c r="V776">
        <v>4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4</v>
      </c>
      <c r="AG776">
        <v>0</v>
      </c>
      <c r="AH776">
        <v>5</v>
      </c>
      <c r="AI776">
        <v>2</v>
      </c>
      <c r="AJ776">
        <v>7</v>
      </c>
      <c r="AK776">
        <v>4</v>
      </c>
      <c r="AL776">
        <v>5</v>
      </c>
      <c r="AM776">
        <v>0</v>
      </c>
      <c r="AN776" t="s">
        <v>3574</v>
      </c>
      <c r="AO776" t="s">
        <v>68</v>
      </c>
      <c r="AP776">
        <v>1.827</v>
      </c>
      <c r="AQ776" t="s">
        <v>69</v>
      </c>
      <c r="AR776">
        <v>12</v>
      </c>
      <c r="AS776">
        <v>4</v>
      </c>
      <c r="AT776">
        <v>3.3329999999999999E-2</v>
      </c>
      <c r="AU776">
        <v>-3.0699999999999998E-3</v>
      </c>
      <c r="AV776">
        <v>0.12964000000000001</v>
      </c>
      <c r="AW776">
        <v>-1.421E-2</v>
      </c>
      <c r="AX776">
        <v>9.3399999999999993E-3</v>
      </c>
      <c r="AY776">
        <v>-1.6999999999999999E-3</v>
      </c>
      <c r="AZ776">
        <v>7.2020000000000001E-2</v>
      </c>
      <c r="BA776">
        <v>1</v>
      </c>
      <c r="BB776" t="s">
        <v>70</v>
      </c>
      <c r="BC776">
        <v>-0.26700000000000002</v>
      </c>
      <c r="BD776">
        <v>-0.26700000000000002</v>
      </c>
      <c r="BE776" t="s">
        <v>71</v>
      </c>
    </row>
    <row r="777" spans="1:57">
      <c r="A777">
        <v>3597</v>
      </c>
      <c r="B777" t="s">
        <v>3575</v>
      </c>
      <c r="D777" t="s">
        <v>66</v>
      </c>
      <c r="E777" t="s">
        <v>3576</v>
      </c>
      <c r="F777" t="s">
        <v>3577</v>
      </c>
      <c r="G777">
        <v>143</v>
      </c>
      <c r="H777" t="s">
        <v>63</v>
      </c>
      <c r="I777">
        <v>5</v>
      </c>
      <c r="J777" t="str">
        <f>HYPERLINK("Gene3597-zp_tree_all.dnd", "Gene3597-tree")</f>
        <v>Gene3597-tree</v>
      </c>
      <c r="K777">
        <v>4</v>
      </c>
      <c r="L777">
        <v>1</v>
      </c>
      <c r="M777">
        <v>4</v>
      </c>
      <c r="N777">
        <v>1</v>
      </c>
      <c r="O777">
        <v>0.2</v>
      </c>
      <c r="P777" t="s">
        <v>64</v>
      </c>
      <c r="Q777" t="s">
        <v>65</v>
      </c>
      <c r="R777" t="s">
        <v>66</v>
      </c>
      <c r="S777" t="s">
        <v>66</v>
      </c>
      <c r="T777">
        <v>0</v>
      </c>
      <c r="U777">
        <v>0</v>
      </c>
      <c r="V777">
        <v>4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5</v>
      </c>
      <c r="AI777">
        <v>2</v>
      </c>
      <c r="AJ777">
        <v>13</v>
      </c>
      <c r="AK777">
        <v>1</v>
      </c>
      <c r="AL777">
        <v>13</v>
      </c>
      <c r="AM777">
        <v>3</v>
      </c>
      <c r="AN777" t="s">
        <v>3578</v>
      </c>
      <c r="AO777" t="s">
        <v>3579</v>
      </c>
      <c r="AP777">
        <v>0.52200000000000002</v>
      </c>
      <c r="AQ777" t="s">
        <v>69</v>
      </c>
      <c r="AR777">
        <v>26</v>
      </c>
      <c r="AS777">
        <v>4</v>
      </c>
      <c r="AT777">
        <v>3.3799999999999997E-2</v>
      </c>
      <c r="AU777">
        <v>-5.8399999999999997E-3</v>
      </c>
      <c r="AV777">
        <v>0.15365999999999999</v>
      </c>
      <c r="AW777">
        <v>-2.649E-2</v>
      </c>
      <c r="AX777">
        <v>6.5500000000000003E-3</v>
      </c>
      <c r="AY777">
        <v>-1.57E-3</v>
      </c>
      <c r="AZ777">
        <v>4.2659999999999997E-2</v>
      </c>
      <c r="BA777">
        <v>1</v>
      </c>
      <c r="BB777" t="s">
        <v>70</v>
      </c>
      <c r="BC777">
        <v>0.88600000000000001</v>
      </c>
      <c r="BD777">
        <v>0.59799999999999998</v>
      </c>
      <c r="BE777" t="s">
        <v>71</v>
      </c>
    </row>
    <row r="778" spans="1:57">
      <c r="A778">
        <v>3602</v>
      </c>
      <c r="B778" t="s">
        <v>3580</v>
      </c>
      <c r="D778" t="s">
        <v>66</v>
      </c>
      <c r="E778" t="s">
        <v>3581</v>
      </c>
      <c r="F778" t="s">
        <v>3582</v>
      </c>
      <c r="G778">
        <v>88</v>
      </c>
      <c r="H778" t="s">
        <v>63</v>
      </c>
      <c r="I778">
        <v>5</v>
      </c>
      <c r="J778" t="str">
        <f>HYPERLINK("Gene3602-zp_tree_all.dnd", "Gene3602-tree")</f>
        <v>Gene3602-tree</v>
      </c>
      <c r="K778">
        <v>0</v>
      </c>
      <c r="L778">
        <v>5</v>
      </c>
      <c r="M778">
        <v>0</v>
      </c>
      <c r="N778">
        <v>4</v>
      </c>
      <c r="O778">
        <v>1</v>
      </c>
      <c r="P778" t="s">
        <v>66</v>
      </c>
      <c r="Q778" t="s">
        <v>135</v>
      </c>
      <c r="R778">
        <v>3.1949999999999998</v>
      </c>
      <c r="S778" t="s">
        <v>69</v>
      </c>
      <c r="T778">
        <v>0</v>
      </c>
      <c r="U778">
        <v>0</v>
      </c>
      <c r="V778">
        <v>7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7</v>
      </c>
      <c r="AG778">
        <v>0</v>
      </c>
      <c r="AH778">
        <v>3</v>
      </c>
      <c r="AI778">
        <v>1</v>
      </c>
      <c r="AJ778">
        <v>2</v>
      </c>
      <c r="AK778">
        <v>3</v>
      </c>
      <c r="AL778">
        <v>5</v>
      </c>
      <c r="AM778">
        <v>4</v>
      </c>
      <c r="AN778" t="s">
        <v>3583</v>
      </c>
      <c r="AO778" t="s">
        <v>3584</v>
      </c>
      <c r="AP778">
        <v>0.41799999999999998</v>
      </c>
      <c r="AQ778" t="s">
        <v>69</v>
      </c>
      <c r="AR778">
        <v>7</v>
      </c>
      <c r="AS778">
        <v>7</v>
      </c>
      <c r="AT778">
        <v>3.0929999999999999E-2</v>
      </c>
      <c r="AU778">
        <v>-6.3400000000000001E-3</v>
      </c>
      <c r="AV778">
        <v>7.9890000000000003E-2</v>
      </c>
      <c r="AW778">
        <v>-1.847E-2</v>
      </c>
      <c r="AX778">
        <v>2.0140000000000002E-2</v>
      </c>
      <c r="AY778">
        <v>-3.8700000000000002E-3</v>
      </c>
      <c r="AZ778">
        <v>0.25206000000000001</v>
      </c>
      <c r="BA778">
        <v>0.99</v>
      </c>
      <c r="BB778" t="s">
        <v>70</v>
      </c>
      <c r="BC778">
        <v>1.117</v>
      </c>
      <c r="BD778">
        <v>0.65200000000000002</v>
      </c>
      <c r="BE778" t="s">
        <v>71</v>
      </c>
    </row>
    <row r="779" spans="1:57">
      <c r="A779">
        <v>3608</v>
      </c>
      <c r="B779" t="s">
        <v>3585</v>
      </c>
      <c r="D779" t="s">
        <v>66</v>
      </c>
      <c r="E779" t="s">
        <v>3586</v>
      </c>
      <c r="F779" t="s">
        <v>3587</v>
      </c>
      <c r="G779">
        <v>229</v>
      </c>
      <c r="H779" t="s">
        <v>63</v>
      </c>
      <c r="I779">
        <v>5</v>
      </c>
      <c r="J779" t="str">
        <f>HYPERLINK("Gene3608-zp_tree_all.dnd", "Gene3608-tree")</f>
        <v>Gene3608-tree</v>
      </c>
      <c r="K779">
        <v>5</v>
      </c>
      <c r="L779">
        <v>0</v>
      </c>
      <c r="M779">
        <v>5</v>
      </c>
      <c r="N779">
        <v>0</v>
      </c>
      <c r="O779">
        <v>0</v>
      </c>
      <c r="P779" t="s">
        <v>96</v>
      </c>
      <c r="Q779" t="s">
        <v>66</v>
      </c>
      <c r="R779" t="s">
        <v>66</v>
      </c>
      <c r="S779" t="s">
        <v>66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5</v>
      </c>
      <c r="AI779">
        <v>2</v>
      </c>
      <c r="AJ779">
        <v>12</v>
      </c>
      <c r="AK779">
        <v>0</v>
      </c>
      <c r="AL779">
        <v>12</v>
      </c>
      <c r="AM779">
        <v>0</v>
      </c>
      <c r="AN779" t="s">
        <v>68</v>
      </c>
      <c r="AO779" t="s">
        <v>68</v>
      </c>
      <c r="AP779">
        <v>0</v>
      </c>
      <c r="AQ779" t="s">
        <v>69</v>
      </c>
      <c r="AR779">
        <v>24</v>
      </c>
      <c r="AS779">
        <v>0</v>
      </c>
      <c r="AT779">
        <v>1.7469999999999999E-2</v>
      </c>
      <c r="AU779">
        <v>-2.8900000000000002E-3</v>
      </c>
      <c r="AV779">
        <v>8.2400000000000001E-2</v>
      </c>
      <c r="AW779">
        <v>-1.396E-2</v>
      </c>
      <c r="AX779">
        <v>0</v>
      </c>
      <c r="AY779">
        <v>0</v>
      </c>
      <c r="AZ779">
        <v>0</v>
      </c>
      <c r="BA779">
        <v>1</v>
      </c>
      <c r="BB779" t="s">
        <v>70</v>
      </c>
      <c r="BC779">
        <v>0.31</v>
      </c>
      <c r="BD779">
        <v>0.31</v>
      </c>
      <c r="BE779" t="s">
        <v>71</v>
      </c>
    </row>
    <row r="780" spans="1:57">
      <c r="A780">
        <v>3609</v>
      </c>
      <c r="B780" t="s">
        <v>3588</v>
      </c>
      <c r="D780" t="s">
        <v>66</v>
      </c>
      <c r="E780" t="s">
        <v>3589</v>
      </c>
      <c r="F780" t="s">
        <v>3590</v>
      </c>
      <c r="G780">
        <v>385</v>
      </c>
      <c r="H780" t="s">
        <v>63</v>
      </c>
      <c r="I780">
        <v>5</v>
      </c>
      <c r="J780" t="str">
        <f>HYPERLINK("Gene3609-zp_tree_all.dnd", "Gene3609-tree")</f>
        <v>Gene3609-tree</v>
      </c>
      <c r="K780">
        <v>3</v>
      </c>
      <c r="L780">
        <v>2</v>
      </c>
      <c r="M780">
        <v>3</v>
      </c>
      <c r="N780">
        <v>2</v>
      </c>
      <c r="O780">
        <v>0.4</v>
      </c>
      <c r="P780" t="s">
        <v>86</v>
      </c>
      <c r="Q780" t="s">
        <v>124</v>
      </c>
      <c r="R780" t="s">
        <v>66</v>
      </c>
      <c r="S780" t="s">
        <v>66</v>
      </c>
      <c r="T780">
        <v>0</v>
      </c>
      <c r="U780">
        <v>0</v>
      </c>
      <c r="V780">
        <v>3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3</v>
      </c>
      <c r="AG780">
        <v>0</v>
      </c>
      <c r="AH780">
        <v>5</v>
      </c>
      <c r="AI780">
        <v>2</v>
      </c>
      <c r="AJ780">
        <v>22</v>
      </c>
      <c r="AK780">
        <v>3</v>
      </c>
      <c r="AL780">
        <v>34</v>
      </c>
      <c r="AM780">
        <v>0</v>
      </c>
      <c r="AN780" t="s">
        <v>3591</v>
      </c>
      <c r="AO780" t="s">
        <v>68</v>
      </c>
      <c r="AP780">
        <v>1.06</v>
      </c>
      <c r="AQ780" t="s">
        <v>69</v>
      </c>
      <c r="AR780">
        <v>56</v>
      </c>
      <c r="AS780">
        <v>3</v>
      </c>
      <c r="AT780">
        <v>2.606E-2</v>
      </c>
      <c r="AU780">
        <v>-4.9899999999999996E-3</v>
      </c>
      <c r="AV780">
        <v>0.13061</v>
      </c>
      <c r="AW780">
        <v>-2.606E-2</v>
      </c>
      <c r="AX780">
        <v>1.33E-3</v>
      </c>
      <c r="AY780">
        <v>-3.4000000000000002E-4</v>
      </c>
      <c r="AZ780">
        <v>1.0160000000000001E-2</v>
      </c>
      <c r="BA780">
        <v>1</v>
      </c>
      <c r="BB780" t="s">
        <v>70</v>
      </c>
      <c r="BC780">
        <v>0.75700000000000001</v>
      </c>
      <c r="BD780">
        <v>0.61899999999999999</v>
      </c>
      <c r="BE780" t="s">
        <v>71</v>
      </c>
    </row>
    <row r="781" spans="1:57">
      <c r="A781">
        <v>3645</v>
      </c>
      <c r="B781" t="s">
        <v>3599</v>
      </c>
      <c r="D781" t="s">
        <v>66</v>
      </c>
      <c r="E781" t="s">
        <v>3600</v>
      </c>
      <c r="F781" t="s">
        <v>74</v>
      </c>
      <c r="G781">
        <v>55</v>
      </c>
      <c r="H781" t="s">
        <v>85</v>
      </c>
      <c r="I781">
        <v>4</v>
      </c>
      <c r="J781" t="str">
        <f>HYPERLINK("Gene3645-zp_tree_all.dnd", "Gene3645-tree")</f>
        <v>Gene3645-tree</v>
      </c>
      <c r="K781">
        <v>3</v>
      </c>
      <c r="L781">
        <v>1</v>
      </c>
      <c r="M781">
        <v>3</v>
      </c>
      <c r="N781">
        <v>1</v>
      </c>
      <c r="O781">
        <v>0.25</v>
      </c>
      <c r="P781" t="s">
        <v>86</v>
      </c>
      <c r="Q781" t="s">
        <v>65</v>
      </c>
      <c r="R781" t="s">
        <v>66</v>
      </c>
      <c r="S781" t="s">
        <v>66</v>
      </c>
      <c r="T781">
        <v>0</v>
      </c>
      <c r="U781">
        <v>0</v>
      </c>
      <c r="V781">
        <v>3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3</v>
      </c>
      <c r="AG781">
        <v>0</v>
      </c>
      <c r="AH781">
        <v>4</v>
      </c>
      <c r="AI781">
        <v>1</v>
      </c>
      <c r="AJ781">
        <v>5</v>
      </c>
      <c r="AK781">
        <v>3</v>
      </c>
      <c r="AL781">
        <v>1</v>
      </c>
      <c r="AM781">
        <v>0</v>
      </c>
      <c r="AN781" t="s">
        <v>3601</v>
      </c>
      <c r="AO781" t="s">
        <v>68</v>
      </c>
      <c r="AP781">
        <v>0.63900000000000001</v>
      </c>
      <c r="AQ781" t="s">
        <v>69</v>
      </c>
      <c r="AR781">
        <v>6</v>
      </c>
      <c r="AS781">
        <v>3</v>
      </c>
      <c r="AT781">
        <v>2.828E-2</v>
      </c>
      <c r="AU781">
        <v>-5.0800000000000003E-3</v>
      </c>
      <c r="AV781">
        <v>0.12196</v>
      </c>
      <c r="AW781">
        <v>-1.1639999999999999E-2</v>
      </c>
      <c r="AX781">
        <v>1.1129999999999999E-2</v>
      </c>
      <c r="AY781">
        <v>-4.5399999999999998E-3</v>
      </c>
      <c r="AZ781">
        <v>9.128E-2</v>
      </c>
      <c r="BA781">
        <v>0.99</v>
      </c>
      <c r="BB781" t="s">
        <v>70</v>
      </c>
      <c r="BC781">
        <v>-0.49199999999999999</v>
      </c>
      <c r="BD781">
        <v>-0.49199999999999999</v>
      </c>
      <c r="BE781" t="s">
        <v>71</v>
      </c>
    </row>
    <row r="782" spans="1:57">
      <c r="A782">
        <v>3647</v>
      </c>
      <c r="B782" t="s">
        <v>3602</v>
      </c>
      <c r="D782" t="s">
        <v>66</v>
      </c>
      <c r="E782" t="s">
        <v>3603</v>
      </c>
      <c r="F782" t="s">
        <v>3604</v>
      </c>
      <c r="G782">
        <v>149</v>
      </c>
      <c r="H782" t="s">
        <v>63</v>
      </c>
      <c r="I782">
        <v>5</v>
      </c>
      <c r="J782" t="str">
        <f>HYPERLINK("Gene3647-zp_tree_all.dnd", "Gene3647-tree")</f>
        <v>Gene3647-tree</v>
      </c>
      <c r="K782">
        <v>4</v>
      </c>
      <c r="L782">
        <v>1</v>
      </c>
      <c r="M782">
        <v>4</v>
      </c>
      <c r="N782">
        <v>1</v>
      </c>
      <c r="O782">
        <v>0.2</v>
      </c>
      <c r="P782" t="s">
        <v>64</v>
      </c>
      <c r="Q782" t="s">
        <v>65</v>
      </c>
      <c r="R782" t="s">
        <v>66</v>
      </c>
      <c r="S782" t="s">
        <v>66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  <c r="AG782">
        <v>0</v>
      </c>
      <c r="AH782">
        <v>4</v>
      </c>
      <c r="AI782">
        <v>2</v>
      </c>
      <c r="AJ782">
        <v>12</v>
      </c>
      <c r="AK782">
        <v>1</v>
      </c>
      <c r="AL782">
        <v>5</v>
      </c>
      <c r="AM782">
        <v>0</v>
      </c>
      <c r="AN782" t="s">
        <v>3605</v>
      </c>
      <c r="AO782" t="s">
        <v>68</v>
      </c>
      <c r="AP782">
        <v>0.58799999999999997</v>
      </c>
      <c r="AQ782" t="s">
        <v>69</v>
      </c>
      <c r="AR782">
        <v>17</v>
      </c>
      <c r="AS782">
        <v>1</v>
      </c>
      <c r="AT782">
        <v>1.8339999999999999E-2</v>
      </c>
      <c r="AU782">
        <v>-2.4499999999999999E-3</v>
      </c>
      <c r="AV782">
        <v>7.2190000000000004E-2</v>
      </c>
      <c r="AW782">
        <v>-1.068E-2</v>
      </c>
      <c r="AX782">
        <v>1.2099999999999999E-3</v>
      </c>
      <c r="AY782">
        <v>-4.6999999999999999E-4</v>
      </c>
      <c r="AZ782">
        <v>1.67E-2</v>
      </c>
      <c r="BA782">
        <v>1</v>
      </c>
      <c r="BB782" t="s">
        <v>70</v>
      </c>
      <c r="BC782">
        <v>-0.375</v>
      </c>
      <c r="BD782">
        <v>-0.375</v>
      </c>
      <c r="BE782" t="s">
        <v>71</v>
      </c>
    </row>
    <row r="783" spans="1:57">
      <c r="A783">
        <v>3648</v>
      </c>
      <c r="B783" t="s">
        <v>3606</v>
      </c>
      <c r="D783" t="s">
        <v>66</v>
      </c>
      <c r="E783" t="s">
        <v>3607</v>
      </c>
      <c r="F783" t="s">
        <v>3608</v>
      </c>
      <c r="G783">
        <v>393</v>
      </c>
      <c r="H783" t="s">
        <v>63</v>
      </c>
      <c r="I783">
        <v>5</v>
      </c>
      <c r="J783" t="str">
        <f>HYPERLINK("Gene3648-zp_tree_all.dnd", "Gene3648-tree")</f>
        <v>Gene3648-tree</v>
      </c>
      <c r="K783">
        <v>4</v>
      </c>
      <c r="L783">
        <v>1</v>
      </c>
      <c r="M783">
        <v>4</v>
      </c>
      <c r="N783">
        <v>1</v>
      </c>
      <c r="O783">
        <v>0.2</v>
      </c>
      <c r="P783" t="s">
        <v>64</v>
      </c>
      <c r="Q783" t="s">
        <v>65</v>
      </c>
      <c r="R783" t="s">
        <v>66</v>
      </c>
      <c r="S783" t="s">
        <v>66</v>
      </c>
      <c r="T783">
        <v>0</v>
      </c>
      <c r="U783">
        <v>0</v>
      </c>
      <c r="V783">
        <v>3</v>
      </c>
      <c r="W783">
        <v>0</v>
      </c>
      <c r="X783">
        <v>0</v>
      </c>
      <c r="Y783">
        <v>0</v>
      </c>
      <c r="Z783">
        <v>0</v>
      </c>
      <c r="AA783">
        <v>2</v>
      </c>
      <c r="AB783">
        <v>0</v>
      </c>
      <c r="AC783">
        <v>0</v>
      </c>
      <c r="AD783">
        <v>0</v>
      </c>
      <c r="AE783">
        <v>0</v>
      </c>
      <c r="AF783">
        <v>1</v>
      </c>
      <c r="AG783">
        <v>0</v>
      </c>
      <c r="AH783">
        <v>5</v>
      </c>
      <c r="AI783">
        <v>2</v>
      </c>
      <c r="AJ783">
        <v>25</v>
      </c>
      <c r="AK783">
        <v>1</v>
      </c>
      <c r="AL783">
        <v>24</v>
      </c>
      <c r="AM783">
        <v>2</v>
      </c>
      <c r="AN783" t="s">
        <v>3609</v>
      </c>
      <c r="AO783" t="s">
        <v>3610</v>
      </c>
      <c r="AP783">
        <v>0.31900000000000001</v>
      </c>
      <c r="AQ783" t="s">
        <v>69</v>
      </c>
      <c r="AR783">
        <v>49</v>
      </c>
      <c r="AS783">
        <v>3</v>
      </c>
      <c r="AT783">
        <v>2.171E-2</v>
      </c>
      <c r="AU783">
        <v>-3.8400000000000001E-3</v>
      </c>
      <c r="AV783">
        <v>9.7970000000000002E-2</v>
      </c>
      <c r="AW783">
        <v>-1.7819999999999999E-2</v>
      </c>
      <c r="AX783">
        <v>1.7600000000000001E-3</v>
      </c>
      <c r="AY783">
        <v>-3.1E-4</v>
      </c>
      <c r="AZ783">
        <v>1.7930000000000001E-2</v>
      </c>
      <c r="BA783">
        <v>1</v>
      </c>
      <c r="BB783" t="s">
        <v>70</v>
      </c>
      <c r="BC783">
        <v>0.503</v>
      </c>
      <c r="BD783">
        <v>0.503</v>
      </c>
      <c r="BE783" t="s">
        <v>71</v>
      </c>
    </row>
    <row r="784" spans="1:57">
      <c r="A784">
        <v>3658</v>
      </c>
      <c r="B784" t="s">
        <v>3611</v>
      </c>
      <c r="D784" t="s">
        <v>66</v>
      </c>
      <c r="E784" t="s">
        <v>3612</v>
      </c>
      <c r="F784" t="s">
        <v>3613</v>
      </c>
      <c r="G784">
        <v>255</v>
      </c>
      <c r="H784" t="s">
        <v>63</v>
      </c>
      <c r="I784">
        <v>5</v>
      </c>
      <c r="J784" t="str">
        <f>HYPERLINK("Gene3658-zp_tree_all.dnd", "Gene3658-tree")</f>
        <v>Gene3658-tree</v>
      </c>
      <c r="K784">
        <v>3</v>
      </c>
      <c r="L784">
        <v>2</v>
      </c>
      <c r="M784">
        <v>3</v>
      </c>
      <c r="N784">
        <v>2</v>
      </c>
      <c r="O784">
        <v>0.4</v>
      </c>
      <c r="P784" t="s">
        <v>86</v>
      </c>
      <c r="Q784" t="s">
        <v>124</v>
      </c>
      <c r="R784" t="s">
        <v>66</v>
      </c>
      <c r="S784" t="s">
        <v>66</v>
      </c>
      <c r="T784">
        <v>0</v>
      </c>
      <c r="U784">
        <v>0</v>
      </c>
      <c r="V784">
        <v>6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0</v>
      </c>
      <c r="AC784">
        <v>0</v>
      </c>
      <c r="AD784">
        <v>0</v>
      </c>
      <c r="AE784">
        <v>0</v>
      </c>
      <c r="AF784">
        <v>3</v>
      </c>
      <c r="AG784">
        <v>0</v>
      </c>
      <c r="AH784">
        <v>5</v>
      </c>
      <c r="AI784">
        <v>2</v>
      </c>
      <c r="AJ784">
        <v>29</v>
      </c>
      <c r="AK784">
        <v>3</v>
      </c>
      <c r="AL784">
        <v>23</v>
      </c>
      <c r="AM784">
        <v>3</v>
      </c>
      <c r="AN784" t="s">
        <v>3614</v>
      </c>
      <c r="AO784" t="s">
        <v>3615</v>
      </c>
      <c r="AP784">
        <v>0.15</v>
      </c>
      <c r="AQ784" t="s">
        <v>69</v>
      </c>
      <c r="AR784">
        <v>52</v>
      </c>
      <c r="AS784">
        <v>6</v>
      </c>
      <c r="AT784">
        <v>3.49E-2</v>
      </c>
      <c r="AU784">
        <v>-4.7699999999999999E-3</v>
      </c>
      <c r="AV784">
        <v>0.15745999999999999</v>
      </c>
      <c r="AW784">
        <v>-2.2710000000000001E-2</v>
      </c>
      <c r="AX784">
        <v>5.0699999999999999E-3</v>
      </c>
      <c r="AY784">
        <v>-9.3000000000000005E-4</v>
      </c>
      <c r="AZ784">
        <v>3.218E-2</v>
      </c>
      <c r="BA784">
        <v>1</v>
      </c>
      <c r="BB784" t="s">
        <v>70</v>
      </c>
      <c r="BC784">
        <v>0.52600000000000002</v>
      </c>
      <c r="BD784">
        <v>7.2999999999999995E-2</v>
      </c>
      <c r="BE784" t="s">
        <v>71</v>
      </c>
    </row>
    <row r="785" spans="1:57">
      <c r="A785">
        <v>3684</v>
      </c>
      <c r="B785" t="s">
        <v>3618</v>
      </c>
      <c r="D785" t="s">
        <v>66</v>
      </c>
      <c r="E785" t="s">
        <v>3619</v>
      </c>
      <c r="F785" t="s">
        <v>3620</v>
      </c>
      <c r="G785">
        <v>248</v>
      </c>
      <c r="H785" t="s">
        <v>106</v>
      </c>
      <c r="I785">
        <v>4</v>
      </c>
      <c r="J785" t="str">
        <f>HYPERLINK("Gene3684-zp_tree_all.dnd", "Gene3684-tree")</f>
        <v>Gene3684-tree</v>
      </c>
      <c r="K785">
        <v>2</v>
      </c>
      <c r="L785">
        <v>2</v>
      </c>
      <c r="M785">
        <v>2</v>
      </c>
      <c r="N785">
        <v>2</v>
      </c>
      <c r="O785">
        <v>0.5</v>
      </c>
      <c r="P785" t="s">
        <v>124</v>
      </c>
      <c r="Q785" t="s">
        <v>124</v>
      </c>
      <c r="R785" t="s">
        <v>66</v>
      </c>
      <c r="S785" t="s">
        <v>66</v>
      </c>
      <c r="T785">
        <v>0</v>
      </c>
      <c r="U785">
        <v>0</v>
      </c>
      <c r="V785">
        <v>8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8</v>
      </c>
      <c r="AG785">
        <v>0</v>
      </c>
      <c r="AH785">
        <v>3</v>
      </c>
      <c r="AI785">
        <v>1</v>
      </c>
      <c r="AJ785">
        <v>22</v>
      </c>
      <c r="AK785">
        <v>8</v>
      </c>
      <c r="AL785">
        <v>3</v>
      </c>
      <c r="AM785">
        <v>0</v>
      </c>
      <c r="AN785" t="s">
        <v>3621</v>
      </c>
      <c r="AO785" t="s">
        <v>68</v>
      </c>
      <c r="AP785">
        <v>0.65200000000000002</v>
      </c>
      <c r="AQ785" t="s">
        <v>69</v>
      </c>
      <c r="AR785">
        <v>25</v>
      </c>
      <c r="AS785">
        <v>8</v>
      </c>
      <c r="AT785">
        <v>2.2849999999999999E-2</v>
      </c>
      <c r="AU785">
        <v>-6.8300000000000001E-3</v>
      </c>
      <c r="AV785">
        <v>8.1320000000000003E-2</v>
      </c>
      <c r="AW785">
        <v>-2.3990000000000001E-2</v>
      </c>
      <c r="AX785">
        <v>7.0699999999999999E-3</v>
      </c>
      <c r="AY785">
        <v>-2.4299999999999999E-3</v>
      </c>
      <c r="AZ785">
        <v>8.6889999999999995E-2</v>
      </c>
      <c r="BA785">
        <v>1</v>
      </c>
      <c r="BB785" t="s">
        <v>70</v>
      </c>
      <c r="BC785">
        <v>-0.57499999999999996</v>
      </c>
      <c r="BD785">
        <v>-0.57499999999999996</v>
      </c>
      <c r="BE785" t="s">
        <v>71</v>
      </c>
    </row>
    <row r="786" spans="1:57">
      <c r="A786">
        <v>3690</v>
      </c>
      <c r="B786" t="s">
        <v>3624</v>
      </c>
      <c r="D786" t="s">
        <v>66</v>
      </c>
      <c r="E786" t="s">
        <v>3625</v>
      </c>
      <c r="F786" t="s">
        <v>3626</v>
      </c>
      <c r="G786">
        <v>113</v>
      </c>
      <c r="H786" t="s">
        <v>63</v>
      </c>
      <c r="I786">
        <v>5</v>
      </c>
      <c r="J786" t="str">
        <f>HYPERLINK("Gene3690-zp_tree_all.dnd", "Gene3690-tree")</f>
        <v>Gene3690-tree</v>
      </c>
      <c r="K786">
        <v>3</v>
      </c>
      <c r="L786">
        <v>2</v>
      </c>
      <c r="M786">
        <v>3</v>
      </c>
      <c r="N786">
        <v>2</v>
      </c>
      <c r="O786">
        <v>0.4</v>
      </c>
      <c r="P786" t="s">
        <v>86</v>
      </c>
      <c r="Q786" t="s">
        <v>124</v>
      </c>
      <c r="R786" t="s">
        <v>66</v>
      </c>
      <c r="S786" t="s">
        <v>66</v>
      </c>
      <c r="T786">
        <v>1</v>
      </c>
      <c r="U786">
        <v>2</v>
      </c>
      <c r="V786">
        <v>2</v>
      </c>
      <c r="W786">
        <v>0.5</v>
      </c>
      <c r="X786">
        <v>0</v>
      </c>
      <c r="Y786">
        <v>0</v>
      </c>
      <c r="Z786">
        <v>0</v>
      </c>
      <c r="AA786">
        <v>2</v>
      </c>
      <c r="AB786">
        <v>0</v>
      </c>
      <c r="AC786">
        <v>0</v>
      </c>
      <c r="AD786">
        <v>0</v>
      </c>
      <c r="AE786">
        <v>0</v>
      </c>
      <c r="AF786">
        <v>2</v>
      </c>
      <c r="AG786">
        <v>0</v>
      </c>
      <c r="AH786">
        <v>4</v>
      </c>
      <c r="AI786">
        <v>2</v>
      </c>
      <c r="AJ786">
        <v>8</v>
      </c>
      <c r="AK786">
        <v>2</v>
      </c>
      <c r="AL786">
        <v>10</v>
      </c>
      <c r="AM786">
        <v>2</v>
      </c>
      <c r="AN786" t="s">
        <v>3627</v>
      </c>
      <c r="AO786" t="s">
        <v>3628</v>
      </c>
      <c r="AP786">
        <v>0.21</v>
      </c>
      <c r="AQ786" t="s">
        <v>69</v>
      </c>
      <c r="AR786">
        <v>18</v>
      </c>
      <c r="AS786">
        <v>4</v>
      </c>
      <c r="AT786">
        <v>3.2149999999999998E-2</v>
      </c>
      <c r="AU786">
        <v>-5.28E-3</v>
      </c>
      <c r="AV786">
        <v>0.12057</v>
      </c>
      <c r="AW786">
        <v>-2.1170000000000001E-2</v>
      </c>
      <c r="AX786">
        <v>7.8300000000000002E-3</v>
      </c>
      <c r="AY786">
        <v>-1.47E-3</v>
      </c>
      <c r="AZ786">
        <v>6.4949999999999994E-2</v>
      </c>
      <c r="BA786">
        <v>1</v>
      </c>
      <c r="BB786" t="s">
        <v>70</v>
      </c>
      <c r="BC786">
        <v>0.60199999999999998</v>
      </c>
      <c r="BD786">
        <v>0.23499999999999999</v>
      </c>
      <c r="BE786" t="s">
        <v>71</v>
      </c>
    </row>
    <row r="787" spans="1:57">
      <c r="A787">
        <v>3698</v>
      </c>
      <c r="B787" t="s">
        <v>3636</v>
      </c>
      <c r="D787" t="s">
        <v>66</v>
      </c>
      <c r="E787" t="s">
        <v>3637</v>
      </c>
      <c r="F787" t="s">
        <v>3638</v>
      </c>
      <c r="G787">
        <v>269</v>
      </c>
      <c r="H787" t="s">
        <v>85</v>
      </c>
      <c r="I787">
        <v>4</v>
      </c>
      <c r="J787" t="str">
        <f>HYPERLINK("Gene3698-zp_tree_all.dnd", "Gene3698-tree")</f>
        <v>Gene3698-tree</v>
      </c>
      <c r="K787">
        <v>2</v>
      </c>
      <c r="L787">
        <v>2</v>
      </c>
      <c r="M787">
        <v>2</v>
      </c>
      <c r="N787">
        <v>2</v>
      </c>
      <c r="O787">
        <v>0.5</v>
      </c>
      <c r="P787" t="s">
        <v>124</v>
      </c>
      <c r="Q787" t="s">
        <v>124</v>
      </c>
      <c r="R787" t="s">
        <v>66</v>
      </c>
      <c r="S787" t="s">
        <v>66</v>
      </c>
      <c r="T787">
        <v>0</v>
      </c>
      <c r="U787">
        <v>0</v>
      </c>
      <c r="V787">
        <v>5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5</v>
      </c>
      <c r="AG787">
        <v>0</v>
      </c>
      <c r="AH787">
        <v>3</v>
      </c>
      <c r="AI787">
        <v>1</v>
      </c>
      <c r="AJ787">
        <v>35</v>
      </c>
      <c r="AK787">
        <v>5</v>
      </c>
      <c r="AL787">
        <v>1</v>
      </c>
      <c r="AM787">
        <v>0</v>
      </c>
      <c r="AN787" t="s">
        <v>3639</v>
      </c>
      <c r="AO787" t="s">
        <v>68</v>
      </c>
      <c r="AP787">
        <v>0.74</v>
      </c>
      <c r="AQ787" t="s">
        <v>69</v>
      </c>
      <c r="AR787">
        <v>36</v>
      </c>
      <c r="AS787">
        <v>5</v>
      </c>
      <c r="AT787">
        <v>2.52E-2</v>
      </c>
      <c r="AU787">
        <v>-8.1300000000000001E-3</v>
      </c>
      <c r="AV787">
        <v>0.1087</v>
      </c>
      <c r="AW787">
        <v>-3.635E-2</v>
      </c>
      <c r="AX787">
        <v>4.0299999999999997E-3</v>
      </c>
      <c r="AY787">
        <v>-1.25E-3</v>
      </c>
      <c r="AZ787">
        <v>3.7109999999999997E-2</v>
      </c>
      <c r="BA787">
        <v>1</v>
      </c>
      <c r="BB787" t="s">
        <v>70</v>
      </c>
      <c r="BC787">
        <v>-0.70699999999999996</v>
      </c>
      <c r="BD787">
        <v>-0.94399999999999995</v>
      </c>
      <c r="BE787" t="s">
        <v>71</v>
      </c>
    </row>
    <row r="788" spans="1:57">
      <c r="A788">
        <v>3700</v>
      </c>
      <c r="B788" t="s">
        <v>3640</v>
      </c>
      <c r="D788" t="s">
        <v>66</v>
      </c>
      <c r="E788" t="s">
        <v>3641</v>
      </c>
      <c r="F788" t="s">
        <v>3642</v>
      </c>
      <c r="G788">
        <v>333</v>
      </c>
      <c r="H788" t="s">
        <v>63</v>
      </c>
      <c r="I788">
        <v>5</v>
      </c>
      <c r="J788" t="str">
        <f>HYPERLINK("Gene3700-zp_tree_all.dnd", "Gene3700-tree")</f>
        <v>Gene3700-tree</v>
      </c>
      <c r="K788">
        <v>3</v>
      </c>
      <c r="L788">
        <v>2</v>
      </c>
      <c r="M788">
        <v>3</v>
      </c>
      <c r="N788">
        <v>2</v>
      </c>
      <c r="O788">
        <v>0.4</v>
      </c>
      <c r="P788" t="s">
        <v>86</v>
      </c>
      <c r="Q788" t="s">
        <v>124</v>
      </c>
      <c r="R788" t="s">
        <v>66</v>
      </c>
      <c r="S788" t="s">
        <v>66</v>
      </c>
      <c r="T788">
        <v>0</v>
      </c>
      <c r="U788">
        <v>0</v>
      </c>
      <c r="V788">
        <v>3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3</v>
      </c>
      <c r="AG788">
        <v>0</v>
      </c>
      <c r="AH788">
        <v>5</v>
      </c>
      <c r="AI788">
        <v>2</v>
      </c>
      <c r="AJ788">
        <v>35</v>
      </c>
      <c r="AK788">
        <v>3</v>
      </c>
      <c r="AL788">
        <v>13</v>
      </c>
      <c r="AM788">
        <v>0</v>
      </c>
      <c r="AN788" t="s">
        <v>3643</v>
      </c>
      <c r="AO788" t="s">
        <v>68</v>
      </c>
      <c r="AP788">
        <v>0.77200000000000002</v>
      </c>
      <c r="AQ788" t="s">
        <v>69</v>
      </c>
      <c r="AR788">
        <v>48</v>
      </c>
      <c r="AS788">
        <v>3</v>
      </c>
      <c r="AT788">
        <v>2.172E-2</v>
      </c>
      <c r="AU788">
        <v>-3.9899999999999996E-3</v>
      </c>
      <c r="AV788">
        <v>9.3310000000000004E-2</v>
      </c>
      <c r="AW788">
        <v>-1.7409999999999998E-2</v>
      </c>
      <c r="AX788">
        <v>1.58E-3</v>
      </c>
      <c r="AY788">
        <v>-4.0999999999999999E-4</v>
      </c>
      <c r="AZ788">
        <v>1.694E-2</v>
      </c>
      <c r="BA788">
        <v>1</v>
      </c>
      <c r="BB788" t="s">
        <v>70</v>
      </c>
      <c r="BC788">
        <v>-0.13</v>
      </c>
      <c r="BD788">
        <v>-0.64200000000000002</v>
      </c>
      <c r="BE788" t="s">
        <v>71</v>
      </c>
    </row>
    <row r="789" spans="1:57">
      <c r="A789">
        <v>3725</v>
      </c>
      <c r="B789" t="s">
        <v>3661</v>
      </c>
      <c r="D789" t="s">
        <v>66</v>
      </c>
      <c r="E789" t="s">
        <v>3662</v>
      </c>
      <c r="F789" t="s">
        <v>3663</v>
      </c>
      <c r="G789">
        <v>105</v>
      </c>
      <c r="H789" t="s">
        <v>85</v>
      </c>
      <c r="I789">
        <v>4</v>
      </c>
      <c r="J789" t="str">
        <f>HYPERLINK("Gene3725-zp_tree_all.dnd", "Gene3725-tree")</f>
        <v>Gene3725-tree</v>
      </c>
      <c r="K789">
        <v>3</v>
      </c>
      <c r="L789">
        <v>1</v>
      </c>
      <c r="M789">
        <v>3</v>
      </c>
      <c r="N789">
        <v>1</v>
      </c>
      <c r="O789">
        <v>0.25</v>
      </c>
      <c r="P789" t="s">
        <v>86</v>
      </c>
      <c r="Q789" t="s">
        <v>65</v>
      </c>
      <c r="R789" t="s">
        <v>66</v>
      </c>
      <c r="S789" t="s">
        <v>66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3</v>
      </c>
      <c r="AI789">
        <v>1</v>
      </c>
      <c r="AJ789">
        <v>16</v>
      </c>
      <c r="AK789">
        <v>1</v>
      </c>
      <c r="AL789">
        <v>2</v>
      </c>
      <c r="AM789">
        <v>0</v>
      </c>
      <c r="AN789" t="s">
        <v>3664</v>
      </c>
      <c r="AO789" t="s">
        <v>68</v>
      </c>
      <c r="AP789">
        <v>0.60699999999999998</v>
      </c>
      <c r="AQ789" t="s">
        <v>69</v>
      </c>
      <c r="AR789">
        <v>18</v>
      </c>
      <c r="AS789">
        <v>1</v>
      </c>
      <c r="AT789">
        <v>3.1220000000000001E-2</v>
      </c>
      <c r="AU789">
        <v>-7.0000000000000001E-3</v>
      </c>
      <c r="AV789">
        <v>0.14177000000000001</v>
      </c>
      <c r="AW789">
        <v>-3.6060000000000002E-2</v>
      </c>
      <c r="AX789">
        <v>2.0899999999999998E-3</v>
      </c>
      <c r="AY789">
        <v>-7.7999999999999999E-4</v>
      </c>
      <c r="AZ789">
        <v>1.472E-2</v>
      </c>
      <c r="BA789">
        <v>1</v>
      </c>
      <c r="BB789" t="s">
        <v>70</v>
      </c>
      <c r="BC789">
        <v>-0.52400000000000002</v>
      </c>
      <c r="BD789">
        <v>-0.52400000000000002</v>
      </c>
      <c r="BE789" t="s">
        <v>71</v>
      </c>
    </row>
    <row r="790" spans="1:57">
      <c r="A790">
        <v>3730</v>
      </c>
      <c r="B790" t="s">
        <v>3665</v>
      </c>
      <c r="D790" t="s">
        <v>66</v>
      </c>
      <c r="E790" t="s">
        <v>3666</v>
      </c>
      <c r="F790" t="s">
        <v>3667</v>
      </c>
      <c r="G790">
        <v>262</v>
      </c>
      <c r="H790" t="s">
        <v>85</v>
      </c>
      <c r="I790">
        <v>4</v>
      </c>
      <c r="J790" t="str">
        <f>HYPERLINK("Gene3730-zp_tree_all.dnd", "Gene3730-tree")</f>
        <v>Gene3730-tree</v>
      </c>
      <c r="K790">
        <v>1</v>
      </c>
      <c r="L790">
        <v>3</v>
      </c>
      <c r="M790">
        <v>1</v>
      </c>
      <c r="N790">
        <v>3</v>
      </c>
      <c r="O790">
        <v>0.75</v>
      </c>
      <c r="P790" t="s">
        <v>65</v>
      </c>
      <c r="Q790" t="s">
        <v>86</v>
      </c>
      <c r="R790" t="s">
        <v>66</v>
      </c>
      <c r="S790" t="s">
        <v>66</v>
      </c>
      <c r="T790">
        <v>0</v>
      </c>
      <c r="U790">
        <v>0</v>
      </c>
      <c r="V790">
        <v>5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5</v>
      </c>
      <c r="AG790">
        <v>0</v>
      </c>
      <c r="AH790">
        <v>3</v>
      </c>
      <c r="AI790">
        <v>1</v>
      </c>
      <c r="AJ790">
        <v>36</v>
      </c>
      <c r="AK790">
        <v>4</v>
      </c>
      <c r="AL790">
        <v>1</v>
      </c>
      <c r="AM790">
        <v>1</v>
      </c>
      <c r="AN790" t="s">
        <v>3668</v>
      </c>
      <c r="AO790" t="s">
        <v>3669</v>
      </c>
      <c r="AP790">
        <v>6.77</v>
      </c>
      <c r="AQ790" t="s">
        <v>69</v>
      </c>
      <c r="AR790">
        <v>37</v>
      </c>
      <c r="AS790">
        <v>5</v>
      </c>
      <c r="AT790">
        <v>2.7029999999999998E-2</v>
      </c>
      <c r="AU790">
        <v>-8.6300000000000005E-3</v>
      </c>
      <c r="AV790">
        <v>0.11717</v>
      </c>
      <c r="AW790">
        <v>-4.0259999999999997E-2</v>
      </c>
      <c r="AX790">
        <v>4.4400000000000004E-3</v>
      </c>
      <c r="AY790">
        <v>-1.0200000000000001E-3</v>
      </c>
      <c r="AZ790">
        <v>3.7879999999999997E-2</v>
      </c>
      <c r="BA790">
        <v>1</v>
      </c>
      <c r="BB790" t="s">
        <v>70</v>
      </c>
      <c r="BC790">
        <v>-0.55600000000000005</v>
      </c>
      <c r="BD790">
        <v>-0.78800000000000003</v>
      </c>
      <c r="BE790" t="s">
        <v>71</v>
      </c>
    </row>
    <row r="791" spans="1:57">
      <c r="A791">
        <v>3735</v>
      </c>
      <c r="B791" t="s">
        <v>3670</v>
      </c>
      <c r="D791" t="s">
        <v>66</v>
      </c>
      <c r="E791" t="s">
        <v>3671</v>
      </c>
      <c r="F791" t="s">
        <v>3672</v>
      </c>
      <c r="G791">
        <v>436</v>
      </c>
      <c r="H791" t="s">
        <v>63</v>
      </c>
      <c r="I791">
        <v>5</v>
      </c>
      <c r="J791" t="str">
        <f>HYPERLINK("Gene3735-zp_tree_all.dnd", "Gene3735-tree")</f>
        <v>Gene3735-tree</v>
      </c>
      <c r="K791">
        <v>4</v>
      </c>
      <c r="L791">
        <v>1</v>
      </c>
      <c r="M791">
        <v>4</v>
      </c>
      <c r="N791">
        <v>1</v>
      </c>
      <c r="O791">
        <v>0.2</v>
      </c>
      <c r="P791" t="s">
        <v>64</v>
      </c>
      <c r="Q791" t="s">
        <v>65</v>
      </c>
      <c r="R791" t="s">
        <v>66</v>
      </c>
      <c r="S791" t="s">
        <v>66</v>
      </c>
      <c r="T791">
        <v>0</v>
      </c>
      <c r="U791">
        <v>0</v>
      </c>
      <c r="V791">
        <v>4</v>
      </c>
      <c r="W791">
        <v>0</v>
      </c>
      <c r="X791">
        <v>0</v>
      </c>
      <c r="Y791">
        <v>0</v>
      </c>
      <c r="Z791">
        <v>0</v>
      </c>
      <c r="AA791">
        <v>2</v>
      </c>
      <c r="AB791">
        <v>0</v>
      </c>
      <c r="AC791">
        <v>0</v>
      </c>
      <c r="AD791">
        <v>0</v>
      </c>
      <c r="AE791">
        <v>0</v>
      </c>
      <c r="AF791">
        <v>2</v>
      </c>
      <c r="AG791">
        <v>0</v>
      </c>
      <c r="AH791">
        <v>5</v>
      </c>
      <c r="AI791">
        <v>2</v>
      </c>
      <c r="AJ791">
        <v>21</v>
      </c>
      <c r="AK791">
        <v>2</v>
      </c>
      <c r="AL791">
        <v>33</v>
      </c>
      <c r="AM791">
        <v>2</v>
      </c>
      <c r="AN791" t="s">
        <v>3673</v>
      </c>
      <c r="AO791" t="s">
        <v>3674</v>
      </c>
      <c r="AP791">
        <v>0.189</v>
      </c>
      <c r="AQ791" t="s">
        <v>69</v>
      </c>
      <c r="AR791">
        <v>54</v>
      </c>
      <c r="AS791">
        <v>4</v>
      </c>
      <c r="AT791">
        <v>2.24E-2</v>
      </c>
      <c r="AU791">
        <v>-4.1200000000000004E-3</v>
      </c>
      <c r="AV791">
        <v>9.5170000000000005E-2</v>
      </c>
      <c r="AW791">
        <v>-1.8329999999999999E-2</v>
      </c>
      <c r="AX791">
        <v>2.0100000000000001E-3</v>
      </c>
      <c r="AY791">
        <v>-4.0000000000000002E-4</v>
      </c>
      <c r="AZ791">
        <v>2.1149999999999999E-2</v>
      </c>
      <c r="BA791">
        <v>1</v>
      </c>
      <c r="BB791" t="s">
        <v>70</v>
      </c>
      <c r="BC791">
        <v>0.83</v>
      </c>
      <c r="BD791">
        <v>0.68700000000000006</v>
      </c>
      <c r="BE791" t="s">
        <v>71</v>
      </c>
    </row>
    <row r="792" spans="1:57">
      <c r="A792">
        <v>3736</v>
      </c>
      <c r="B792" t="s">
        <v>3675</v>
      </c>
      <c r="D792" t="s">
        <v>66</v>
      </c>
      <c r="E792" t="s">
        <v>3676</v>
      </c>
      <c r="F792" t="s">
        <v>74</v>
      </c>
      <c r="G792">
        <v>246</v>
      </c>
      <c r="H792" t="s">
        <v>63</v>
      </c>
      <c r="I792">
        <v>5</v>
      </c>
      <c r="J792" t="str">
        <f>HYPERLINK("Gene3736-zp_tree_all.dnd", "Gene3736-tree")</f>
        <v>Gene3736-tree</v>
      </c>
      <c r="K792">
        <v>0</v>
      </c>
      <c r="L792">
        <v>5</v>
      </c>
      <c r="M792">
        <v>0</v>
      </c>
      <c r="N792">
        <v>5</v>
      </c>
      <c r="O792">
        <v>1</v>
      </c>
      <c r="P792" t="s">
        <v>66</v>
      </c>
      <c r="Q792" t="s">
        <v>96</v>
      </c>
      <c r="R792" t="s">
        <v>66</v>
      </c>
      <c r="S792" t="s">
        <v>66</v>
      </c>
      <c r="T792">
        <v>2</v>
      </c>
      <c r="U792">
        <v>4</v>
      </c>
      <c r="V792">
        <v>18</v>
      </c>
      <c r="W792">
        <v>0.18182000000000001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4</v>
      </c>
      <c r="AE792">
        <v>4</v>
      </c>
      <c r="AF792">
        <v>18</v>
      </c>
      <c r="AG792">
        <v>0.18182000000000001</v>
      </c>
      <c r="AH792">
        <v>5</v>
      </c>
      <c r="AI792">
        <v>2</v>
      </c>
      <c r="AJ792">
        <v>7</v>
      </c>
      <c r="AK792">
        <v>15</v>
      </c>
      <c r="AL792">
        <v>15</v>
      </c>
      <c r="AM792">
        <v>8</v>
      </c>
      <c r="AN792" t="s">
        <v>3677</v>
      </c>
      <c r="AO792" t="s">
        <v>3678</v>
      </c>
      <c r="AP792">
        <v>2.4849999999999999</v>
      </c>
      <c r="AQ792" t="s">
        <v>239</v>
      </c>
      <c r="AR792">
        <v>22</v>
      </c>
      <c r="AS792">
        <v>23</v>
      </c>
      <c r="AT792">
        <v>3.0620000000000001E-2</v>
      </c>
      <c r="AU792">
        <v>-4.2599999999999999E-3</v>
      </c>
      <c r="AV792">
        <v>8.387E-2</v>
      </c>
      <c r="AW792">
        <v>-1.6799999999999999E-2</v>
      </c>
      <c r="AX792">
        <v>1.8409999999999999E-2</v>
      </c>
      <c r="AY792">
        <v>-1.65E-3</v>
      </c>
      <c r="AZ792">
        <v>0.2195</v>
      </c>
      <c r="BA792">
        <v>1</v>
      </c>
      <c r="BB792" t="s">
        <v>70</v>
      </c>
      <c r="BC792">
        <v>0.34899999999999998</v>
      </c>
      <c r="BD792">
        <v>0.34899999999999998</v>
      </c>
      <c r="BE792" t="s">
        <v>71</v>
      </c>
    </row>
    <row r="793" spans="1:57">
      <c r="A793">
        <v>3739</v>
      </c>
      <c r="B793" t="s">
        <v>3679</v>
      </c>
      <c r="D793" t="s">
        <v>66</v>
      </c>
      <c r="E793" t="s">
        <v>3680</v>
      </c>
      <c r="F793" t="s">
        <v>3681</v>
      </c>
      <c r="G793">
        <v>132</v>
      </c>
      <c r="H793" t="s">
        <v>63</v>
      </c>
      <c r="I793">
        <v>5</v>
      </c>
      <c r="J793" t="str">
        <f>HYPERLINK("Gene3739-zp_tree_all.dnd", "Gene3739-tree")</f>
        <v>Gene3739-tree</v>
      </c>
      <c r="K793">
        <v>4</v>
      </c>
      <c r="L793">
        <v>1</v>
      </c>
      <c r="M793">
        <v>4</v>
      </c>
      <c r="N793">
        <v>1</v>
      </c>
      <c r="O793">
        <v>0.2</v>
      </c>
      <c r="P793" t="s">
        <v>64</v>
      </c>
      <c r="Q793" t="s">
        <v>65</v>
      </c>
      <c r="R793" t="s">
        <v>66</v>
      </c>
      <c r="S793" t="s">
        <v>66</v>
      </c>
      <c r="T793">
        <v>0</v>
      </c>
      <c r="U793">
        <v>0</v>
      </c>
      <c r="V793">
        <v>3</v>
      </c>
      <c r="W793">
        <v>0</v>
      </c>
      <c r="X793">
        <v>0</v>
      </c>
      <c r="Y793">
        <v>0</v>
      </c>
      <c r="Z793">
        <v>0</v>
      </c>
      <c r="AA793">
        <v>2</v>
      </c>
      <c r="AB793">
        <v>0</v>
      </c>
      <c r="AC793">
        <v>0</v>
      </c>
      <c r="AD793">
        <v>0</v>
      </c>
      <c r="AE793">
        <v>0</v>
      </c>
      <c r="AF793">
        <v>1</v>
      </c>
      <c r="AG793">
        <v>0</v>
      </c>
      <c r="AH793">
        <v>3</v>
      </c>
      <c r="AI793">
        <v>2</v>
      </c>
      <c r="AJ793">
        <v>3</v>
      </c>
      <c r="AK793">
        <v>1</v>
      </c>
      <c r="AL793">
        <v>9</v>
      </c>
      <c r="AM793">
        <v>2</v>
      </c>
      <c r="AN793" t="s">
        <v>3682</v>
      </c>
      <c r="AO793" t="s">
        <v>3683</v>
      </c>
      <c r="AP793">
        <v>0.21</v>
      </c>
      <c r="AQ793" t="s">
        <v>69</v>
      </c>
      <c r="AR793">
        <v>12</v>
      </c>
      <c r="AS793">
        <v>3</v>
      </c>
      <c r="AT793">
        <v>2.0709999999999999E-2</v>
      </c>
      <c r="AU793">
        <v>-3.96E-3</v>
      </c>
      <c r="AV793">
        <v>7.3380000000000001E-2</v>
      </c>
      <c r="AW793">
        <v>-1.457E-2</v>
      </c>
      <c r="AX793">
        <v>5.3600000000000002E-3</v>
      </c>
      <c r="AY793">
        <v>-9.3999999999999997E-4</v>
      </c>
      <c r="AZ793">
        <v>7.3099999999999998E-2</v>
      </c>
      <c r="BA793">
        <v>1</v>
      </c>
      <c r="BB793" t="s">
        <v>70</v>
      </c>
      <c r="BC793">
        <v>1.0149999999999999</v>
      </c>
      <c r="BD793">
        <v>1.0149999999999999</v>
      </c>
      <c r="BE793" t="s">
        <v>71</v>
      </c>
    </row>
    <row r="794" spans="1:57">
      <c r="A794">
        <v>3740</v>
      </c>
      <c r="B794" t="s">
        <v>3684</v>
      </c>
      <c r="D794" t="s">
        <v>66</v>
      </c>
      <c r="E794" t="s">
        <v>3685</v>
      </c>
      <c r="F794" t="s">
        <v>3686</v>
      </c>
      <c r="G794">
        <v>473</v>
      </c>
      <c r="H794" t="s">
        <v>63</v>
      </c>
      <c r="I794">
        <v>5</v>
      </c>
      <c r="J794" t="str">
        <f>HYPERLINK("Gene3740-zp_tree_all.dnd", "Gene3740-tree")</f>
        <v>Gene3740-tree</v>
      </c>
      <c r="K794">
        <v>4</v>
      </c>
      <c r="L794">
        <v>1</v>
      </c>
      <c r="M794">
        <v>4</v>
      </c>
      <c r="N794">
        <v>1</v>
      </c>
      <c r="O794">
        <v>0.2</v>
      </c>
      <c r="P794" t="s">
        <v>64</v>
      </c>
      <c r="Q794" t="s">
        <v>65</v>
      </c>
      <c r="R794" t="s">
        <v>66</v>
      </c>
      <c r="S794" t="s">
        <v>66</v>
      </c>
      <c r="T794">
        <v>0</v>
      </c>
      <c r="U794">
        <v>0</v>
      </c>
      <c r="V794">
        <v>5</v>
      </c>
      <c r="W794">
        <v>0</v>
      </c>
      <c r="X794">
        <v>0</v>
      </c>
      <c r="Y794">
        <v>0</v>
      </c>
      <c r="Z794">
        <v>0</v>
      </c>
      <c r="AA794">
        <v>4</v>
      </c>
      <c r="AB794">
        <v>0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5</v>
      </c>
      <c r="AI794">
        <v>1</v>
      </c>
      <c r="AJ794">
        <v>27</v>
      </c>
      <c r="AK794">
        <v>1</v>
      </c>
      <c r="AL794">
        <v>33</v>
      </c>
      <c r="AM794">
        <v>4</v>
      </c>
      <c r="AN794" t="s">
        <v>3687</v>
      </c>
      <c r="AO794" t="s">
        <v>3688</v>
      </c>
      <c r="AP794">
        <v>1.085</v>
      </c>
      <c r="AQ794" t="s">
        <v>69</v>
      </c>
      <c r="AR794">
        <v>60</v>
      </c>
      <c r="AS794">
        <v>5</v>
      </c>
      <c r="AT794">
        <v>2.3400000000000001E-2</v>
      </c>
      <c r="AU794">
        <v>-4.2900000000000004E-3</v>
      </c>
      <c r="AV794">
        <v>9.7309999999999994E-2</v>
      </c>
      <c r="AW794">
        <v>-1.8159999999999999E-2</v>
      </c>
      <c r="AX794">
        <v>2.5999999999999999E-3</v>
      </c>
      <c r="AY794">
        <v>-5.1000000000000004E-4</v>
      </c>
      <c r="AZ794">
        <v>2.6749999999999999E-2</v>
      </c>
      <c r="BA794">
        <v>1</v>
      </c>
      <c r="BB794" t="s">
        <v>70</v>
      </c>
      <c r="BC794">
        <v>0.61099999999999999</v>
      </c>
      <c r="BD794">
        <v>0.61099999999999999</v>
      </c>
      <c r="BE794" t="s">
        <v>71</v>
      </c>
    </row>
    <row r="795" spans="1:57">
      <c r="A795">
        <v>3741</v>
      </c>
      <c r="B795" t="s">
        <v>3689</v>
      </c>
      <c r="D795" t="s">
        <v>66</v>
      </c>
      <c r="E795" t="s">
        <v>3690</v>
      </c>
      <c r="F795" t="s">
        <v>3691</v>
      </c>
      <c r="G795">
        <v>287</v>
      </c>
      <c r="H795" t="s">
        <v>63</v>
      </c>
      <c r="I795">
        <v>5</v>
      </c>
      <c r="J795" t="str">
        <f>HYPERLINK("Gene3741-zp_tree_all.dnd", "Gene3741-tree")</f>
        <v>Gene3741-tree</v>
      </c>
      <c r="K795">
        <v>4</v>
      </c>
      <c r="L795">
        <v>1</v>
      </c>
      <c r="M795">
        <v>3</v>
      </c>
      <c r="N795">
        <v>1</v>
      </c>
      <c r="O795">
        <v>0.25</v>
      </c>
      <c r="P795" t="s">
        <v>112</v>
      </c>
      <c r="Q795" t="s">
        <v>65</v>
      </c>
      <c r="R795" t="s">
        <v>66</v>
      </c>
      <c r="S795" t="s">
        <v>66</v>
      </c>
      <c r="T795">
        <v>0</v>
      </c>
      <c r="U795">
        <v>0</v>
      </c>
      <c r="V795">
        <v>3</v>
      </c>
      <c r="W795">
        <v>0</v>
      </c>
      <c r="X795">
        <v>0</v>
      </c>
      <c r="Y795">
        <v>0</v>
      </c>
      <c r="Z795">
        <v>0</v>
      </c>
      <c r="AA795">
        <v>2</v>
      </c>
      <c r="AB795">
        <v>0</v>
      </c>
      <c r="AC795">
        <v>0</v>
      </c>
      <c r="AD795">
        <v>0</v>
      </c>
      <c r="AE795">
        <v>0</v>
      </c>
      <c r="AF795">
        <v>1</v>
      </c>
      <c r="AG795">
        <v>0</v>
      </c>
      <c r="AH795">
        <v>4</v>
      </c>
      <c r="AI795">
        <v>1</v>
      </c>
      <c r="AJ795">
        <v>21</v>
      </c>
      <c r="AK795">
        <v>1</v>
      </c>
      <c r="AL795">
        <v>15</v>
      </c>
      <c r="AM795">
        <v>2</v>
      </c>
      <c r="AN795" t="s">
        <v>3692</v>
      </c>
      <c r="AO795" t="s">
        <v>3693</v>
      </c>
      <c r="AP795">
        <v>1.087</v>
      </c>
      <c r="AQ795" t="s">
        <v>69</v>
      </c>
      <c r="AR795">
        <v>36</v>
      </c>
      <c r="AS795">
        <v>3</v>
      </c>
      <c r="AT795">
        <v>2.5749999999999999E-2</v>
      </c>
      <c r="AU795">
        <v>-3.8899999999999998E-3</v>
      </c>
      <c r="AV795">
        <v>0.11051</v>
      </c>
      <c r="AW795">
        <v>-1.6959999999999999E-2</v>
      </c>
      <c r="AX795">
        <v>2.7799999999999999E-3</v>
      </c>
      <c r="AY795">
        <v>-4.6999999999999999E-4</v>
      </c>
      <c r="AZ795">
        <v>2.5149999999999999E-2</v>
      </c>
      <c r="BA795">
        <v>1</v>
      </c>
      <c r="BB795" t="s">
        <v>70</v>
      </c>
      <c r="BC795">
        <v>0.437</v>
      </c>
      <c r="BD795">
        <v>0.23100000000000001</v>
      </c>
      <c r="BE795" t="s">
        <v>71</v>
      </c>
    </row>
    <row r="796" spans="1:57">
      <c r="A796">
        <v>3743</v>
      </c>
      <c r="B796" t="s">
        <v>3699</v>
      </c>
      <c r="D796" t="s">
        <v>66</v>
      </c>
      <c r="E796" t="s">
        <v>3700</v>
      </c>
      <c r="F796" t="s">
        <v>3701</v>
      </c>
      <c r="G796">
        <v>181</v>
      </c>
      <c r="H796" t="s">
        <v>63</v>
      </c>
      <c r="I796">
        <v>5</v>
      </c>
      <c r="J796" t="str">
        <f>HYPERLINK("Gene3743-zp_tree_all.dnd", "Gene3743-tree")</f>
        <v>Gene3743-tree</v>
      </c>
      <c r="K796">
        <v>1</v>
      </c>
      <c r="L796">
        <v>4</v>
      </c>
      <c r="M796">
        <v>1</v>
      </c>
      <c r="N796">
        <v>4</v>
      </c>
      <c r="O796">
        <v>0.8</v>
      </c>
      <c r="P796" t="s">
        <v>65</v>
      </c>
      <c r="Q796" t="s">
        <v>64</v>
      </c>
      <c r="R796" t="s">
        <v>66</v>
      </c>
      <c r="S796" t="s">
        <v>66</v>
      </c>
      <c r="T796">
        <v>0</v>
      </c>
      <c r="U796">
        <v>0</v>
      </c>
      <c r="V796">
        <v>10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10</v>
      </c>
      <c r="AG796">
        <v>0</v>
      </c>
      <c r="AH796">
        <v>5</v>
      </c>
      <c r="AI796">
        <v>2</v>
      </c>
      <c r="AJ796">
        <v>14</v>
      </c>
      <c r="AK796">
        <v>6</v>
      </c>
      <c r="AL796">
        <v>10</v>
      </c>
      <c r="AM796">
        <v>4</v>
      </c>
      <c r="AN796" t="s">
        <v>3702</v>
      </c>
      <c r="AO796" t="s">
        <v>3703</v>
      </c>
      <c r="AP796">
        <v>8.1000000000000003E-2</v>
      </c>
      <c r="AQ796" t="s">
        <v>69</v>
      </c>
      <c r="AR796">
        <v>24</v>
      </c>
      <c r="AS796">
        <v>10</v>
      </c>
      <c r="AT796">
        <v>3.0020000000000002E-2</v>
      </c>
      <c r="AU796">
        <v>-3.8300000000000001E-3</v>
      </c>
      <c r="AV796">
        <v>9.6369999999999997E-2</v>
      </c>
      <c r="AW796">
        <v>-1.2789999999999999E-2</v>
      </c>
      <c r="AX796">
        <v>1.1690000000000001E-2</v>
      </c>
      <c r="AY796">
        <v>-1.73E-3</v>
      </c>
      <c r="AZ796">
        <v>0.12132</v>
      </c>
      <c r="BA796">
        <v>1</v>
      </c>
      <c r="BB796" t="s">
        <v>70</v>
      </c>
      <c r="BC796">
        <v>0.218</v>
      </c>
      <c r="BD796">
        <v>-1.9E-2</v>
      </c>
      <c r="BE796" t="s">
        <v>71</v>
      </c>
    </row>
    <row r="797" spans="1:57">
      <c r="A797">
        <v>3744</v>
      </c>
      <c r="B797" t="s">
        <v>3704</v>
      </c>
      <c r="D797" t="s">
        <v>66</v>
      </c>
      <c r="E797" t="s">
        <v>3705</v>
      </c>
      <c r="F797" t="s">
        <v>3706</v>
      </c>
      <c r="G797">
        <v>170</v>
      </c>
      <c r="H797" t="s">
        <v>63</v>
      </c>
      <c r="I797">
        <v>5</v>
      </c>
      <c r="J797" t="str">
        <f>HYPERLINK("Gene3744-zp_tree_all.dnd", "Gene3744-tree")</f>
        <v>Gene3744-tree</v>
      </c>
      <c r="K797">
        <v>3</v>
      </c>
      <c r="L797">
        <v>2</v>
      </c>
      <c r="M797">
        <v>3</v>
      </c>
      <c r="N797">
        <v>2</v>
      </c>
      <c r="O797">
        <v>0.4</v>
      </c>
      <c r="P797" t="s">
        <v>86</v>
      </c>
      <c r="Q797" t="s">
        <v>124</v>
      </c>
      <c r="R797" t="s">
        <v>66</v>
      </c>
      <c r="S797" t="s">
        <v>66</v>
      </c>
      <c r="T797">
        <v>0</v>
      </c>
      <c r="U797">
        <v>0</v>
      </c>
      <c r="V797">
        <v>2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2</v>
      </c>
      <c r="AG797">
        <v>0</v>
      </c>
      <c r="AH797">
        <v>2</v>
      </c>
      <c r="AI797">
        <v>2</v>
      </c>
      <c r="AJ797">
        <v>2</v>
      </c>
      <c r="AK797">
        <v>1</v>
      </c>
      <c r="AL797">
        <v>1</v>
      </c>
      <c r="AM797">
        <v>1</v>
      </c>
      <c r="AN797" t="s">
        <v>3707</v>
      </c>
      <c r="AO797" t="s">
        <v>3708</v>
      </c>
      <c r="AP797">
        <v>0.34300000000000003</v>
      </c>
      <c r="AQ797" t="s">
        <v>69</v>
      </c>
      <c r="AR797">
        <v>3</v>
      </c>
      <c r="AS797">
        <v>2</v>
      </c>
      <c r="AT797">
        <v>4.7099999999999998E-3</v>
      </c>
      <c r="AU797">
        <v>-7.9000000000000001E-4</v>
      </c>
      <c r="AV797">
        <v>1.2500000000000001E-2</v>
      </c>
      <c r="AW797">
        <v>-2.2699999999999999E-3</v>
      </c>
      <c r="AX797">
        <v>2.5300000000000001E-3</v>
      </c>
      <c r="AY797">
        <v>-6.2E-4</v>
      </c>
      <c r="AZ797">
        <v>0.20222999999999999</v>
      </c>
      <c r="BA797">
        <v>0.94499999999999995</v>
      </c>
      <c r="BB797" t="s">
        <v>188</v>
      </c>
      <c r="BC797">
        <v>0</v>
      </c>
      <c r="BD797">
        <v>0</v>
      </c>
      <c r="BE797" t="s">
        <v>71</v>
      </c>
    </row>
    <row r="798" spans="1:57">
      <c r="A798">
        <v>3746</v>
      </c>
      <c r="B798" t="s">
        <v>3712</v>
      </c>
      <c r="D798" t="s">
        <v>66</v>
      </c>
      <c r="E798" t="s">
        <v>3713</v>
      </c>
      <c r="F798" t="s">
        <v>3714</v>
      </c>
      <c r="G798">
        <v>244</v>
      </c>
      <c r="H798" t="s">
        <v>63</v>
      </c>
      <c r="I798">
        <v>5</v>
      </c>
      <c r="J798" t="str">
        <f>HYPERLINK("Gene3746-zp_tree_all.dnd", "Gene3746-tree")</f>
        <v>Gene3746-tree</v>
      </c>
      <c r="K798">
        <v>5</v>
      </c>
      <c r="L798">
        <v>0</v>
      </c>
      <c r="M798">
        <v>4</v>
      </c>
      <c r="N798">
        <v>0</v>
      </c>
      <c r="O798">
        <v>0</v>
      </c>
      <c r="P798" t="s">
        <v>135</v>
      </c>
      <c r="Q798" t="s">
        <v>66</v>
      </c>
      <c r="R798" t="s">
        <v>66</v>
      </c>
      <c r="S798" t="s">
        <v>66</v>
      </c>
      <c r="T798">
        <v>0</v>
      </c>
      <c r="U798">
        <v>0</v>
      </c>
      <c r="V798">
        <v>2</v>
      </c>
      <c r="W798">
        <v>0</v>
      </c>
      <c r="X798">
        <v>0</v>
      </c>
      <c r="Y798">
        <v>0</v>
      </c>
      <c r="Z798">
        <v>0</v>
      </c>
      <c r="AA798">
        <v>2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3</v>
      </c>
      <c r="AI798">
        <v>1</v>
      </c>
      <c r="AJ798">
        <v>5</v>
      </c>
      <c r="AK798">
        <v>0</v>
      </c>
      <c r="AL798">
        <v>20</v>
      </c>
      <c r="AM798">
        <v>2</v>
      </c>
      <c r="AN798" t="s">
        <v>68</v>
      </c>
      <c r="AO798" t="s">
        <v>3715</v>
      </c>
      <c r="AP798">
        <v>0</v>
      </c>
      <c r="AQ798" t="s">
        <v>69</v>
      </c>
      <c r="AR798">
        <v>25</v>
      </c>
      <c r="AS798">
        <v>2</v>
      </c>
      <c r="AT798">
        <v>2.3550000000000001E-2</v>
      </c>
      <c r="AU798">
        <v>-5.8500000000000002E-3</v>
      </c>
      <c r="AV798">
        <v>9.7809999999999994E-2</v>
      </c>
      <c r="AW798">
        <v>-2.4320000000000001E-2</v>
      </c>
      <c r="AX798">
        <v>2.4199999999999998E-3</v>
      </c>
      <c r="AY798">
        <v>-5.6999999999999998E-4</v>
      </c>
      <c r="AZ798">
        <v>2.4750000000000001E-2</v>
      </c>
      <c r="BA798">
        <v>1</v>
      </c>
      <c r="BB798" t="s">
        <v>70</v>
      </c>
      <c r="BC798">
        <v>1.4039999999999999</v>
      </c>
      <c r="BD798">
        <v>1.4039999999999999</v>
      </c>
      <c r="BE798" t="s">
        <v>71</v>
      </c>
    </row>
    <row r="799" spans="1:57">
      <c r="A799">
        <v>3747</v>
      </c>
      <c r="B799" t="s">
        <v>3716</v>
      </c>
      <c r="D799" t="s">
        <v>66</v>
      </c>
      <c r="E799" t="s">
        <v>3717</v>
      </c>
      <c r="F799" t="s">
        <v>3718</v>
      </c>
      <c r="G799">
        <v>127</v>
      </c>
      <c r="H799" t="s">
        <v>63</v>
      </c>
      <c r="I799">
        <v>5</v>
      </c>
      <c r="J799" t="str">
        <f>HYPERLINK("Gene3747-zp_tree_all.dnd", "Gene3747-tree")</f>
        <v>Gene3747-tree</v>
      </c>
      <c r="K799">
        <v>3</v>
      </c>
      <c r="L799">
        <v>2</v>
      </c>
      <c r="M799">
        <v>3</v>
      </c>
      <c r="N799">
        <v>2</v>
      </c>
      <c r="O799">
        <v>0.4</v>
      </c>
      <c r="P799" t="s">
        <v>86</v>
      </c>
      <c r="Q799" t="s">
        <v>124</v>
      </c>
      <c r="R799" t="s">
        <v>66</v>
      </c>
      <c r="S799" t="s">
        <v>66</v>
      </c>
      <c r="T799">
        <v>0</v>
      </c>
      <c r="U799">
        <v>0</v>
      </c>
      <c r="V799">
        <v>2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2</v>
      </c>
      <c r="AG799">
        <v>0</v>
      </c>
      <c r="AH799">
        <v>2</v>
      </c>
      <c r="AI799">
        <v>2</v>
      </c>
      <c r="AJ799">
        <v>3</v>
      </c>
      <c r="AK799">
        <v>1</v>
      </c>
      <c r="AL799">
        <v>9</v>
      </c>
      <c r="AM799">
        <v>1</v>
      </c>
      <c r="AN799" t="s">
        <v>3719</v>
      </c>
      <c r="AO799" t="s">
        <v>3720</v>
      </c>
      <c r="AP799">
        <v>0.80400000000000005</v>
      </c>
      <c r="AQ799" t="s">
        <v>69</v>
      </c>
      <c r="AR799">
        <v>12</v>
      </c>
      <c r="AS799">
        <v>2</v>
      </c>
      <c r="AT799">
        <v>1.9949999999999999E-2</v>
      </c>
      <c r="AU799">
        <v>-3.8600000000000001E-3</v>
      </c>
      <c r="AV799">
        <v>7.9079999999999998E-2</v>
      </c>
      <c r="AW799">
        <v>-1.5509999999999999E-2</v>
      </c>
      <c r="AX799">
        <v>3.4499999999999999E-3</v>
      </c>
      <c r="AY799">
        <v>-8.4000000000000003E-4</v>
      </c>
      <c r="AZ799">
        <v>4.3560000000000001E-2</v>
      </c>
      <c r="BA799">
        <v>1</v>
      </c>
      <c r="BB799" t="s">
        <v>70</v>
      </c>
      <c r="BC799">
        <v>0.95399999999999996</v>
      </c>
      <c r="BD799">
        <v>0.95399999999999996</v>
      </c>
      <c r="BE799" t="s">
        <v>71</v>
      </c>
    </row>
    <row r="800" spans="1:57">
      <c r="A800">
        <v>3749</v>
      </c>
      <c r="B800" t="s">
        <v>3721</v>
      </c>
      <c r="D800" t="s">
        <v>66</v>
      </c>
      <c r="E800" t="s">
        <v>3722</v>
      </c>
      <c r="F800" t="s">
        <v>3723</v>
      </c>
      <c r="G800">
        <v>415</v>
      </c>
      <c r="H800" t="s">
        <v>63</v>
      </c>
      <c r="I800">
        <v>5</v>
      </c>
      <c r="J800" t="str">
        <f>HYPERLINK("Gene3749-zp_tree_all.dnd", "Gene3749-tree")</f>
        <v>Gene3749-tree</v>
      </c>
      <c r="K800">
        <v>1</v>
      </c>
      <c r="L800">
        <v>4</v>
      </c>
      <c r="M800">
        <v>1</v>
      </c>
      <c r="N800">
        <v>4</v>
      </c>
      <c r="O800">
        <v>0.8</v>
      </c>
      <c r="P800" t="s">
        <v>65</v>
      </c>
      <c r="Q800" t="s">
        <v>64</v>
      </c>
      <c r="R800" t="s">
        <v>66</v>
      </c>
      <c r="S800" t="s">
        <v>66</v>
      </c>
      <c r="T800">
        <v>0</v>
      </c>
      <c r="U800">
        <v>0</v>
      </c>
      <c r="V800">
        <v>7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7</v>
      </c>
      <c r="AG800">
        <v>0</v>
      </c>
      <c r="AH800">
        <v>5</v>
      </c>
      <c r="AI800">
        <v>2</v>
      </c>
      <c r="AJ800">
        <v>32</v>
      </c>
      <c r="AK800">
        <v>5</v>
      </c>
      <c r="AL800">
        <v>36</v>
      </c>
      <c r="AM800">
        <v>2</v>
      </c>
      <c r="AN800" t="s">
        <v>3724</v>
      </c>
      <c r="AO800" t="s">
        <v>3725</v>
      </c>
      <c r="AP800">
        <v>1.4930000000000001</v>
      </c>
      <c r="AQ800" t="s">
        <v>69</v>
      </c>
      <c r="AR800">
        <v>68</v>
      </c>
      <c r="AS800">
        <v>7</v>
      </c>
      <c r="AT800">
        <v>2.963E-2</v>
      </c>
      <c r="AU800">
        <v>-4.9899999999999996E-3</v>
      </c>
      <c r="AV800">
        <v>0.12903999999999999</v>
      </c>
      <c r="AW800">
        <v>-2.3560000000000001E-2</v>
      </c>
      <c r="AX800">
        <v>3.3700000000000002E-3</v>
      </c>
      <c r="AY800">
        <v>-3.6000000000000002E-4</v>
      </c>
      <c r="AZ800">
        <v>2.615E-2</v>
      </c>
      <c r="BA800">
        <v>1</v>
      </c>
      <c r="BB800" t="s">
        <v>70</v>
      </c>
      <c r="BC800">
        <v>0.49099999999999999</v>
      </c>
      <c r="BD800">
        <v>0.184</v>
      </c>
      <c r="BE800" t="s">
        <v>71</v>
      </c>
    </row>
    <row r="801" spans="1:57">
      <c r="A801">
        <v>3760</v>
      </c>
      <c r="B801" t="s">
        <v>3730</v>
      </c>
      <c r="D801" t="s">
        <v>66</v>
      </c>
      <c r="E801" t="s">
        <v>3731</v>
      </c>
      <c r="F801" t="s">
        <v>3732</v>
      </c>
      <c r="G801">
        <v>356</v>
      </c>
      <c r="H801" t="s">
        <v>63</v>
      </c>
      <c r="I801">
        <v>5</v>
      </c>
      <c r="J801" t="str">
        <f>HYPERLINK("Gene3760-zp_tree_all.dnd", "Gene3760-tree")</f>
        <v>Gene3760-tree</v>
      </c>
      <c r="K801">
        <v>4</v>
      </c>
      <c r="L801">
        <v>1</v>
      </c>
      <c r="M801">
        <v>4</v>
      </c>
      <c r="N801">
        <v>1</v>
      </c>
      <c r="O801">
        <v>0.2</v>
      </c>
      <c r="P801" t="s">
        <v>64</v>
      </c>
      <c r="Q801" t="s">
        <v>65</v>
      </c>
      <c r="R801" t="s">
        <v>66</v>
      </c>
      <c r="S801" t="s">
        <v>66</v>
      </c>
      <c r="T801">
        <v>0</v>
      </c>
      <c r="U801">
        <v>0</v>
      </c>
      <c r="V801">
        <v>2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2</v>
      </c>
      <c r="AG801">
        <v>0</v>
      </c>
      <c r="AH801">
        <v>5</v>
      </c>
      <c r="AI801">
        <v>2</v>
      </c>
      <c r="AJ801">
        <v>25</v>
      </c>
      <c r="AK801">
        <v>2</v>
      </c>
      <c r="AL801">
        <v>29</v>
      </c>
      <c r="AM801">
        <v>0</v>
      </c>
      <c r="AN801" t="s">
        <v>3733</v>
      </c>
      <c r="AO801" t="s">
        <v>68</v>
      </c>
      <c r="AP801">
        <v>0.52100000000000002</v>
      </c>
      <c r="AQ801" t="s">
        <v>69</v>
      </c>
      <c r="AR801">
        <v>54</v>
      </c>
      <c r="AS801">
        <v>2</v>
      </c>
      <c r="AT801">
        <v>2.5559999999999999E-2</v>
      </c>
      <c r="AU801">
        <v>-4.1599999999999996E-3</v>
      </c>
      <c r="AV801">
        <v>0.11971999999999999</v>
      </c>
      <c r="AW801">
        <v>-2.0320000000000001E-2</v>
      </c>
      <c r="AX801">
        <v>9.7000000000000005E-4</v>
      </c>
      <c r="AY801">
        <v>-3.8000000000000002E-4</v>
      </c>
      <c r="AZ801">
        <v>8.1300000000000001E-3</v>
      </c>
      <c r="BA801">
        <v>1</v>
      </c>
      <c r="BB801" t="s">
        <v>70</v>
      </c>
      <c r="BC801">
        <v>0.55200000000000005</v>
      </c>
      <c r="BD801">
        <v>0.40400000000000003</v>
      </c>
      <c r="BE801" t="s">
        <v>71</v>
      </c>
    </row>
    <row r="802" spans="1:57">
      <c r="A802">
        <v>3764</v>
      </c>
      <c r="B802" t="s">
        <v>3734</v>
      </c>
      <c r="D802" t="s">
        <v>66</v>
      </c>
      <c r="E802" t="s">
        <v>3735</v>
      </c>
      <c r="F802" t="s">
        <v>3736</v>
      </c>
      <c r="G802">
        <v>582</v>
      </c>
      <c r="H802" t="s">
        <v>63</v>
      </c>
      <c r="I802">
        <v>5</v>
      </c>
      <c r="J802" t="str">
        <f>HYPERLINK("Gene3764-zp_tree_all.dnd", "Gene3764-tree")</f>
        <v>Gene3764-tree</v>
      </c>
      <c r="K802">
        <v>1</v>
      </c>
      <c r="L802">
        <v>4</v>
      </c>
      <c r="M802">
        <v>1</v>
      </c>
      <c r="N802">
        <v>4</v>
      </c>
      <c r="O802">
        <v>0.8</v>
      </c>
      <c r="P802" t="s">
        <v>65</v>
      </c>
      <c r="Q802" t="s">
        <v>64</v>
      </c>
      <c r="R802" t="s">
        <v>66</v>
      </c>
      <c r="S802" t="s">
        <v>66</v>
      </c>
      <c r="T802">
        <v>1</v>
      </c>
      <c r="U802">
        <v>2</v>
      </c>
      <c r="V802">
        <v>9</v>
      </c>
      <c r="W802">
        <v>0.18182000000000001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2</v>
      </c>
      <c r="AE802">
        <v>2</v>
      </c>
      <c r="AF802">
        <v>9</v>
      </c>
      <c r="AG802">
        <v>0.18182000000000001</v>
      </c>
      <c r="AH802">
        <v>5</v>
      </c>
      <c r="AI802">
        <v>2</v>
      </c>
      <c r="AJ802">
        <v>38</v>
      </c>
      <c r="AK802">
        <v>5</v>
      </c>
      <c r="AL802">
        <v>51</v>
      </c>
      <c r="AM802">
        <v>6</v>
      </c>
      <c r="AN802" t="s">
        <v>3737</v>
      </c>
      <c r="AO802" t="s">
        <v>3738</v>
      </c>
      <c r="AP802">
        <v>0.14899999999999999</v>
      </c>
      <c r="AQ802" t="s">
        <v>69</v>
      </c>
      <c r="AR802">
        <v>89</v>
      </c>
      <c r="AS802">
        <v>11</v>
      </c>
      <c r="AT802">
        <v>2.8289999999999999E-2</v>
      </c>
      <c r="AU802">
        <v>-4.9199999999999999E-3</v>
      </c>
      <c r="AV802">
        <v>0.11917</v>
      </c>
      <c r="AW802">
        <v>-2.147E-2</v>
      </c>
      <c r="AX802">
        <v>3.98E-3</v>
      </c>
      <c r="AY802">
        <v>-7.2999999999999996E-4</v>
      </c>
      <c r="AZ802">
        <v>3.3430000000000001E-2</v>
      </c>
      <c r="BA802">
        <v>1</v>
      </c>
      <c r="BB802" t="s">
        <v>70</v>
      </c>
      <c r="BC802">
        <v>0.81</v>
      </c>
      <c r="BD802">
        <v>0.504</v>
      </c>
      <c r="BE802" t="s">
        <v>71</v>
      </c>
    </row>
    <row r="803" spans="1:57">
      <c r="A803">
        <v>3767</v>
      </c>
      <c r="B803" t="s">
        <v>3742</v>
      </c>
      <c r="D803" t="s">
        <v>66</v>
      </c>
      <c r="E803" t="s">
        <v>3743</v>
      </c>
      <c r="F803" t="s">
        <v>3744</v>
      </c>
      <c r="G803">
        <v>427</v>
      </c>
      <c r="H803" t="s">
        <v>63</v>
      </c>
      <c r="I803">
        <v>5</v>
      </c>
      <c r="J803" t="str">
        <f>HYPERLINK("Gene3767-zp_tree_all.dnd", "Gene3767-tree")</f>
        <v>Gene3767-tree</v>
      </c>
      <c r="K803">
        <v>5</v>
      </c>
      <c r="L803">
        <v>0</v>
      </c>
      <c r="M803">
        <v>5</v>
      </c>
      <c r="N803">
        <v>0</v>
      </c>
      <c r="O803">
        <v>0</v>
      </c>
      <c r="P803" t="s">
        <v>96</v>
      </c>
      <c r="Q803" t="s">
        <v>66</v>
      </c>
      <c r="R803" t="s">
        <v>66</v>
      </c>
      <c r="S803" t="s">
        <v>66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5</v>
      </c>
      <c r="AI803">
        <v>2</v>
      </c>
      <c r="AJ803">
        <v>33</v>
      </c>
      <c r="AK803">
        <v>0</v>
      </c>
      <c r="AL803">
        <v>43</v>
      </c>
      <c r="AM803">
        <v>0</v>
      </c>
      <c r="AN803" t="s">
        <v>68</v>
      </c>
      <c r="AO803" t="s">
        <v>68</v>
      </c>
      <c r="AP803">
        <v>0</v>
      </c>
      <c r="AQ803" t="s">
        <v>69</v>
      </c>
      <c r="AR803">
        <v>76</v>
      </c>
      <c r="AS803">
        <v>0</v>
      </c>
      <c r="AT803">
        <v>2.9260000000000001E-2</v>
      </c>
      <c r="AU803">
        <v>-5.4799999999999996E-3</v>
      </c>
      <c r="AV803">
        <v>0.14455999999999999</v>
      </c>
      <c r="AW803">
        <v>-2.8070000000000001E-2</v>
      </c>
      <c r="AX803">
        <v>0</v>
      </c>
      <c r="AY803">
        <v>0</v>
      </c>
      <c r="AZ803">
        <v>0</v>
      </c>
      <c r="BA803">
        <v>1</v>
      </c>
      <c r="BB803" t="s">
        <v>70</v>
      </c>
      <c r="BC803">
        <v>0.97899999999999998</v>
      </c>
      <c r="BD803">
        <v>0.52200000000000002</v>
      </c>
      <c r="BE803" t="s">
        <v>71</v>
      </c>
    </row>
    <row r="804" spans="1:57">
      <c r="A804">
        <v>3768</v>
      </c>
      <c r="B804" t="s">
        <v>3745</v>
      </c>
      <c r="D804" t="s">
        <v>66</v>
      </c>
      <c r="E804" t="s">
        <v>3746</v>
      </c>
      <c r="F804" t="s">
        <v>3747</v>
      </c>
      <c r="G804">
        <v>321</v>
      </c>
      <c r="H804" t="s">
        <v>85</v>
      </c>
      <c r="I804">
        <v>4</v>
      </c>
      <c r="J804" t="str">
        <f>HYPERLINK("Gene3768-zp_tree_all.dnd", "Gene3768-tree")</f>
        <v>Gene3768-tree</v>
      </c>
      <c r="K804">
        <v>4</v>
      </c>
      <c r="L804">
        <v>0</v>
      </c>
      <c r="M804">
        <v>4</v>
      </c>
      <c r="N804">
        <v>0</v>
      </c>
      <c r="O804">
        <v>0</v>
      </c>
      <c r="P804" t="s">
        <v>64</v>
      </c>
      <c r="Q804" t="s">
        <v>66</v>
      </c>
      <c r="R804" t="s">
        <v>66</v>
      </c>
      <c r="S804" t="s">
        <v>66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4</v>
      </c>
      <c r="AI804">
        <v>1</v>
      </c>
      <c r="AJ804">
        <v>48</v>
      </c>
      <c r="AK804">
        <v>0</v>
      </c>
      <c r="AL804">
        <v>3</v>
      </c>
      <c r="AM804">
        <v>0</v>
      </c>
      <c r="AN804" t="s">
        <v>68</v>
      </c>
      <c r="AO804" t="s">
        <v>68</v>
      </c>
      <c r="AP804">
        <v>0</v>
      </c>
      <c r="AQ804" t="s">
        <v>69</v>
      </c>
      <c r="AR804">
        <v>51</v>
      </c>
      <c r="AS804">
        <v>0</v>
      </c>
      <c r="AT804">
        <v>2.665E-2</v>
      </c>
      <c r="AU804">
        <v>-7.8300000000000002E-3</v>
      </c>
      <c r="AV804">
        <v>0.12684000000000001</v>
      </c>
      <c r="AW804">
        <v>-3.866E-2</v>
      </c>
      <c r="AX804">
        <v>0</v>
      </c>
      <c r="AY804">
        <v>0</v>
      </c>
      <c r="AZ804">
        <v>0</v>
      </c>
      <c r="BA804">
        <v>1</v>
      </c>
      <c r="BB804" t="s">
        <v>70</v>
      </c>
      <c r="BC804">
        <v>-0.61299999999999999</v>
      </c>
      <c r="BD804">
        <v>-0.61299999999999999</v>
      </c>
      <c r="BE804" t="s">
        <v>71</v>
      </c>
    </row>
    <row r="805" spans="1:57">
      <c r="A805">
        <v>3769</v>
      </c>
      <c r="B805" t="s">
        <v>3748</v>
      </c>
      <c r="D805" t="s">
        <v>66</v>
      </c>
      <c r="E805" t="s">
        <v>3749</v>
      </c>
      <c r="F805" t="s">
        <v>3750</v>
      </c>
      <c r="G805">
        <v>429</v>
      </c>
      <c r="H805" t="s">
        <v>63</v>
      </c>
      <c r="I805">
        <v>5</v>
      </c>
      <c r="J805" t="str">
        <f>HYPERLINK("Gene3769-zp_tree_all.dnd", "Gene3769-tree")</f>
        <v>Gene3769-tree</v>
      </c>
      <c r="K805">
        <v>4</v>
      </c>
      <c r="L805">
        <v>1</v>
      </c>
      <c r="M805">
        <v>4</v>
      </c>
      <c r="N805">
        <v>1</v>
      </c>
      <c r="O805">
        <v>0.2</v>
      </c>
      <c r="P805" t="s">
        <v>64</v>
      </c>
      <c r="Q805" t="s">
        <v>65</v>
      </c>
      <c r="R805" t="s">
        <v>66</v>
      </c>
      <c r="S805" t="s">
        <v>66</v>
      </c>
      <c r="T805">
        <v>0</v>
      </c>
      <c r="U805">
        <v>0</v>
      </c>
      <c r="V805">
        <v>2</v>
      </c>
      <c r="W805">
        <v>0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1</v>
      </c>
      <c r="AG805">
        <v>0</v>
      </c>
      <c r="AH805">
        <v>5</v>
      </c>
      <c r="AI805">
        <v>2</v>
      </c>
      <c r="AJ805">
        <v>40</v>
      </c>
      <c r="AK805">
        <v>1</v>
      </c>
      <c r="AL805">
        <v>44</v>
      </c>
      <c r="AM805">
        <v>1</v>
      </c>
      <c r="AN805" t="s">
        <v>3751</v>
      </c>
      <c r="AO805" t="s">
        <v>3752</v>
      </c>
      <c r="AP805">
        <v>7.1999999999999995E-2</v>
      </c>
      <c r="AQ805" t="s">
        <v>69</v>
      </c>
      <c r="AR805">
        <v>84</v>
      </c>
      <c r="AS805">
        <v>2</v>
      </c>
      <c r="AT805">
        <v>3.2710000000000003E-2</v>
      </c>
      <c r="AU805">
        <v>-5.3499999999999997E-3</v>
      </c>
      <c r="AV805">
        <v>0.15157999999999999</v>
      </c>
      <c r="AW805">
        <v>-2.581E-2</v>
      </c>
      <c r="AX805">
        <v>1.33E-3</v>
      </c>
      <c r="AY805">
        <v>-3.8000000000000002E-4</v>
      </c>
      <c r="AZ805">
        <v>8.7500000000000008E-3</v>
      </c>
      <c r="BA805">
        <v>1</v>
      </c>
      <c r="BB805" t="s">
        <v>70</v>
      </c>
      <c r="BC805">
        <v>0.73099999999999998</v>
      </c>
      <c r="BD805">
        <v>0.35599999999999998</v>
      </c>
      <c r="BE805" t="s">
        <v>71</v>
      </c>
    </row>
    <row r="806" spans="1:57">
      <c r="A806">
        <v>3770</v>
      </c>
      <c r="B806" t="s">
        <v>3753</v>
      </c>
      <c r="D806" t="s">
        <v>66</v>
      </c>
      <c r="E806" t="s">
        <v>3754</v>
      </c>
      <c r="F806" t="s">
        <v>3755</v>
      </c>
      <c r="G806">
        <v>212</v>
      </c>
      <c r="H806" t="s">
        <v>63</v>
      </c>
      <c r="I806">
        <v>5</v>
      </c>
      <c r="J806" t="str">
        <f>HYPERLINK("Gene3770-zp_tree_all.dnd", "Gene3770-tree")</f>
        <v>Gene3770-tree</v>
      </c>
      <c r="K806">
        <v>4</v>
      </c>
      <c r="L806">
        <v>1</v>
      </c>
      <c r="M806">
        <v>4</v>
      </c>
      <c r="N806">
        <v>1</v>
      </c>
      <c r="O806">
        <v>0.2</v>
      </c>
      <c r="P806" t="s">
        <v>64</v>
      </c>
      <c r="Q806" t="s">
        <v>65</v>
      </c>
      <c r="R806" t="s">
        <v>66</v>
      </c>
      <c r="S806" t="s">
        <v>66</v>
      </c>
      <c r="T806">
        <v>0</v>
      </c>
      <c r="U806">
        <v>0</v>
      </c>
      <c r="V806">
        <v>4</v>
      </c>
      <c r="W806">
        <v>0</v>
      </c>
      <c r="X806">
        <v>0</v>
      </c>
      <c r="Y806">
        <v>0</v>
      </c>
      <c r="Z806">
        <v>0</v>
      </c>
      <c r="AA806">
        <v>3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5</v>
      </c>
      <c r="AI806">
        <v>2</v>
      </c>
      <c r="AJ806">
        <v>10</v>
      </c>
      <c r="AK806">
        <v>1</v>
      </c>
      <c r="AL806">
        <v>18</v>
      </c>
      <c r="AM806">
        <v>4</v>
      </c>
      <c r="AN806" t="s">
        <v>3756</v>
      </c>
      <c r="AO806" t="s">
        <v>3757</v>
      </c>
      <c r="AP806">
        <v>0.33200000000000002</v>
      </c>
      <c r="AQ806" t="s">
        <v>69</v>
      </c>
      <c r="AR806">
        <v>28</v>
      </c>
      <c r="AS806">
        <v>5</v>
      </c>
      <c r="AT806">
        <v>2.7040000000000002E-2</v>
      </c>
      <c r="AU806">
        <v>-5.5199999999999997E-3</v>
      </c>
      <c r="AV806">
        <v>0.10616</v>
      </c>
      <c r="AW806">
        <v>-2.1610000000000001E-2</v>
      </c>
      <c r="AX806">
        <v>5.79E-3</v>
      </c>
      <c r="AY806">
        <v>-1.4E-3</v>
      </c>
      <c r="AZ806">
        <v>5.4559999999999997E-2</v>
      </c>
      <c r="BA806">
        <v>1</v>
      </c>
      <c r="BB806" t="s">
        <v>70</v>
      </c>
      <c r="BC806">
        <v>1.167</v>
      </c>
      <c r="BD806">
        <v>1.167</v>
      </c>
      <c r="BE806" t="s">
        <v>71</v>
      </c>
    </row>
    <row r="807" spans="1:57">
      <c r="A807">
        <v>3771</v>
      </c>
      <c r="B807" t="s">
        <v>3758</v>
      </c>
      <c r="D807" t="s">
        <v>66</v>
      </c>
      <c r="E807" t="s">
        <v>3759</v>
      </c>
      <c r="F807" t="s">
        <v>3760</v>
      </c>
      <c r="G807">
        <v>285</v>
      </c>
      <c r="H807" t="s">
        <v>63</v>
      </c>
      <c r="I807">
        <v>5</v>
      </c>
      <c r="J807" t="str">
        <f>HYPERLINK("Gene3771-zp_tree_all.dnd", "Gene3771-tree")</f>
        <v>Gene3771-tree</v>
      </c>
      <c r="K807">
        <v>3</v>
      </c>
      <c r="L807">
        <v>2</v>
      </c>
      <c r="M807">
        <v>3</v>
      </c>
      <c r="N807">
        <v>2</v>
      </c>
      <c r="O807">
        <v>0.4</v>
      </c>
      <c r="P807" t="s">
        <v>86</v>
      </c>
      <c r="Q807" t="s">
        <v>124</v>
      </c>
      <c r="R807" t="s">
        <v>66</v>
      </c>
      <c r="S807" t="s">
        <v>66</v>
      </c>
      <c r="T807">
        <v>0</v>
      </c>
      <c r="U807">
        <v>0</v>
      </c>
      <c r="V807">
        <v>5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5</v>
      </c>
      <c r="AG807">
        <v>0</v>
      </c>
      <c r="AH807">
        <v>5</v>
      </c>
      <c r="AI807">
        <v>1</v>
      </c>
      <c r="AJ807">
        <v>16</v>
      </c>
      <c r="AK807">
        <v>4</v>
      </c>
      <c r="AL807">
        <v>4</v>
      </c>
      <c r="AM807">
        <v>1</v>
      </c>
      <c r="AN807" t="s">
        <v>3761</v>
      </c>
      <c r="AO807" t="s">
        <v>3762</v>
      </c>
      <c r="AP807">
        <v>2E-3</v>
      </c>
      <c r="AQ807" t="s">
        <v>69</v>
      </c>
      <c r="AR807">
        <v>20</v>
      </c>
      <c r="AS807">
        <v>5</v>
      </c>
      <c r="AT807">
        <v>1.2630000000000001E-2</v>
      </c>
      <c r="AU807">
        <v>-1.4599999999999999E-3</v>
      </c>
      <c r="AV807">
        <v>4.3729999999999998E-2</v>
      </c>
      <c r="AW807">
        <v>-4.5599999999999998E-3</v>
      </c>
      <c r="AX807">
        <v>3.3899999999999998E-3</v>
      </c>
      <c r="AY807">
        <v>-7.2000000000000005E-4</v>
      </c>
      <c r="AZ807">
        <v>7.7420000000000003E-2</v>
      </c>
      <c r="BA807">
        <v>1</v>
      </c>
      <c r="BB807" t="s">
        <v>70</v>
      </c>
      <c r="BC807">
        <v>-0.46500000000000002</v>
      </c>
      <c r="BD807">
        <v>-0.46500000000000002</v>
      </c>
      <c r="BE807" t="s">
        <v>71</v>
      </c>
    </row>
    <row r="808" spans="1:57">
      <c r="A808">
        <v>3772</v>
      </c>
      <c r="B808" t="s">
        <v>3763</v>
      </c>
      <c r="D808" t="s">
        <v>66</v>
      </c>
      <c r="E808" t="s">
        <v>3764</v>
      </c>
      <c r="F808" t="s">
        <v>3765</v>
      </c>
      <c r="G808">
        <v>124</v>
      </c>
      <c r="H808" t="s">
        <v>85</v>
      </c>
      <c r="I808">
        <v>4</v>
      </c>
      <c r="J808" t="str">
        <f>HYPERLINK("Gene3772-zp_tree_all.dnd", "Gene3772-tree")</f>
        <v>Gene3772-tree</v>
      </c>
      <c r="K808">
        <v>4</v>
      </c>
      <c r="L808">
        <v>0</v>
      </c>
      <c r="M808">
        <v>4</v>
      </c>
      <c r="N808">
        <v>0</v>
      </c>
      <c r="O808">
        <v>0</v>
      </c>
      <c r="P808" t="s">
        <v>64</v>
      </c>
      <c r="Q808" t="s">
        <v>66</v>
      </c>
      <c r="R808" t="s">
        <v>66</v>
      </c>
      <c r="S808" t="s">
        <v>66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3</v>
      </c>
      <c r="AI808">
        <v>0</v>
      </c>
      <c r="AJ808">
        <v>17</v>
      </c>
      <c r="AK808">
        <v>0</v>
      </c>
      <c r="AL808">
        <v>0</v>
      </c>
      <c r="AM808">
        <v>0</v>
      </c>
      <c r="AN808" t="s">
        <v>68</v>
      </c>
      <c r="AO808" t="s">
        <v>68</v>
      </c>
      <c r="AP808">
        <v>0</v>
      </c>
      <c r="AQ808" t="s">
        <v>69</v>
      </c>
      <c r="AR808">
        <v>17</v>
      </c>
      <c r="AS808">
        <v>0</v>
      </c>
      <c r="AT808">
        <v>2.3040000000000001E-2</v>
      </c>
      <c r="AU808">
        <v>-7.9500000000000005E-3</v>
      </c>
      <c r="AV808">
        <v>0.12253</v>
      </c>
      <c r="AW808">
        <v>-4.3200000000000002E-2</v>
      </c>
      <c r="AX808">
        <v>0</v>
      </c>
      <c r="AY808">
        <v>0</v>
      </c>
      <c r="AZ808">
        <v>0</v>
      </c>
      <c r="BA808">
        <v>1</v>
      </c>
      <c r="BB808" t="s">
        <v>70</v>
      </c>
      <c r="BC808">
        <v>-0.85099999999999998</v>
      </c>
      <c r="BD808">
        <v>-0.85099999999999998</v>
      </c>
      <c r="BE808" t="s">
        <v>71</v>
      </c>
    </row>
    <row r="809" spans="1:57">
      <c r="A809">
        <v>3775</v>
      </c>
      <c r="B809" t="s">
        <v>3769</v>
      </c>
      <c r="D809" t="s">
        <v>66</v>
      </c>
      <c r="E809" t="s">
        <v>3770</v>
      </c>
      <c r="F809" t="s">
        <v>3771</v>
      </c>
      <c r="G809">
        <v>173</v>
      </c>
      <c r="H809" t="s">
        <v>106</v>
      </c>
      <c r="I809">
        <v>4</v>
      </c>
      <c r="J809" t="str">
        <f>HYPERLINK("Gene3775-zp_tree_all.dnd", "Gene3775-tree")</f>
        <v>Gene3775-tree</v>
      </c>
      <c r="K809">
        <v>0</v>
      </c>
      <c r="L809">
        <v>4</v>
      </c>
      <c r="M809">
        <v>0</v>
      </c>
      <c r="N809">
        <v>4</v>
      </c>
      <c r="O809">
        <v>1</v>
      </c>
      <c r="P809" t="s">
        <v>66</v>
      </c>
      <c r="Q809" t="s">
        <v>64</v>
      </c>
      <c r="R809" t="s">
        <v>66</v>
      </c>
      <c r="S809" t="s">
        <v>66</v>
      </c>
      <c r="T809">
        <v>0</v>
      </c>
      <c r="U809">
        <v>0</v>
      </c>
      <c r="V809">
        <v>9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9</v>
      </c>
      <c r="AG809">
        <v>0</v>
      </c>
      <c r="AH809">
        <v>4</v>
      </c>
      <c r="AI809">
        <v>0</v>
      </c>
      <c r="AJ809">
        <v>18</v>
      </c>
      <c r="AK809">
        <v>10</v>
      </c>
      <c r="AL809">
        <v>0</v>
      </c>
      <c r="AM809">
        <v>0</v>
      </c>
      <c r="AN809" t="s">
        <v>3772</v>
      </c>
      <c r="AO809" t="s">
        <v>68</v>
      </c>
      <c r="AP809">
        <v>0.83</v>
      </c>
      <c r="AQ809" t="s">
        <v>69</v>
      </c>
      <c r="AR809">
        <v>18</v>
      </c>
      <c r="AS809">
        <v>10</v>
      </c>
      <c r="AT809">
        <v>2.7449999999999999E-2</v>
      </c>
      <c r="AU809">
        <v>-7.0099999999999997E-3</v>
      </c>
      <c r="AV809">
        <v>0.1013</v>
      </c>
      <c r="AW809">
        <v>-2.7720000000000002E-2</v>
      </c>
      <c r="AX809">
        <v>1.226E-2</v>
      </c>
      <c r="AY809">
        <v>-3.0200000000000001E-3</v>
      </c>
      <c r="AZ809">
        <v>0.12107</v>
      </c>
      <c r="BA809">
        <v>1</v>
      </c>
      <c r="BB809" t="s">
        <v>70</v>
      </c>
      <c r="BC809">
        <v>-0.86</v>
      </c>
      <c r="BD809">
        <v>-0.86</v>
      </c>
      <c r="BE809" t="s">
        <v>71</v>
      </c>
    </row>
    <row r="810" spans="1:57">
      <c r="A810">
        <v>3809</v>
      </c>
      <c r="B810" t="s">
        <v>3790</v>
      </c>
      <c r="D810" t="s">
        <v>66</v>
      </c>
      <c r="E810" t="s">
        <v>3791</v>
      </c>
      <c r="F810" t="s">
        <v>3792</v>
      </c>
      <c r="G810">
        <v>276</v>
      </c>
      <c r="H810" t="s">
        <v>106</v>
      </c>
      <c r="I810">
        <v>4</v>
      </c>
      <c r="J810" t="str">
        <f>HYPERLINK("Gene3809-zp_tree_all.dnd", "Gene3809-tree")</f>
        <v>Gene3809-tree</v>
      </c>
      <c r="K810">
        <v>3</v>
      </c>
      <c r="L810">
        <v>1</v>
      </c>
      <c r="M810">
        <v>3</v>
      </c>
      <c r="N810">
        <v>1</v>
      </c>
      <c r="O810">
        <v>0.25</v>
      </c>
      <c r="P810" t="s">
        <v>86</v>
      </c>
      <c r="Q810" t="s">
        <v>65</v>
      </c>
      <c r="R810" t="s">
        <v>66</v>
      </c>
      <c r="S810" t="s">
        <v>66</v>
      </c>
      <c r="T810">
        <v>0</v>
      </c>
      <c r="U810">
        <v>0</v>
      </c>
      <c r="V810">
        <v>2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2</v>
      </c>
      <c r="AG810">
        <v>0</v>
      </c>
      <c r="AH810">
        <v>4</v>
      </c>
      <c r="AI810">
        <v>1</v>
      </c>
      <c r="AJ810">
        <v>40</v>
      </c>
      <c r="AK810">
        <v>2</v>
      </c>
      <c r="AL810">
        <v>5</v>
      </c>
      <c r="AM810">
        <v>0</v>
      </c>
      <c r="AN810" t="s">
        <v>3793</v>
      </c>
      <c r="AO810" t="s">
        <v>68</v>
      </c>
      <c r="AP810">
        <v>0.54200000000000004</v>
      </c>
      <c r="AQ810" t="s">
        <v>69</v>
      </c>
      <c r="AR810">
        <v>45</v>
      </c>
      <c r="AS810">
        <v>2</v>
      </c>
      <c r="AT810">
        <v>2.7779999999999999E-2</v>
      </c>
      <c r="AU810">
        <v>-5.0499999999999998E-3</v>
      </c>
      <c r="AV810">
        <v>0.13344</v>
      </c>
      <c r="AW810">
        <v>-2.4510000000000001E-2</v>
      </c>
      <c r="AX810">
        <v>1.5499999999999999E-3</v>
      </c>
      <c r="AY810">
        <v>-6.3000000000000003E-4</v>
      </c>
      <c r="AZ810">
        <v>1.1639999999999999E-2</v>
      </c>
      <c r="BA810">
        <v>1</v>
      </c>
      <c r="BB810" t="s">
        <v>70</v>
      </c>
      <c r="BC810">
        <v>4.1000000000000002E-2</v>
      </c>
      <c r="BD810">
        <v>-0.63900000000000001</v>
      </c>
      <c r="BE810" t="s">
        <v>71</v>
      </c>
    </row>
    <row r="811" spans="1:57">
      <c r="A811">
        <v>3818</v>
      </c>
      <c r="B811" t="s">
        <v>3797</v>
      </c>
      <c r="D811" t="s">
        <v>66</v>
      </c>
      <c r="E811" t="s">
        <v>3798</v>
      </c>
      <c r="F811" t="s">
        <v>74</v>
      </c>
      <c r="G811">
        <v>166</v>
      </c>
      <c r="H811" t="s">
        <v>63</v>
      </c>
      <c r="I811">
        <v>5</v>
      </c>
      <c r="J811" t="str">
        <f>HYPERLINK("Gene3818-zp_tree_all.dnd", "Gene3818-tree")</f>
        <v>Gene3818-tree</v>
      </c>
      <c r="K811">
        <v>4</v>
      </c>
      <c r="L811">
        <v>1</v>
      </c>
      <c r="M811">
        <v>4</v>
      </c>
      <c r="N811">
        <v>1</v>
      </c>
      <c r="O811">
        <v>0.2</v>
      </c>
      <c r="P811" t="s">
        <v>64</v>
      </c>
      <c r="Q811" t="s">
        <v>65</v>
      </c>
      <c r="R811" t="s">
        <v>66</v>
      </c>
      <c r="S811" t="s">
        <v>66</v>
      </c>
      <c r="T811">
        <v>0</v>
      </c>
      <c r="U811">
        <v>0</v>
      </c>
      <c r="V811">
        <v>3</v>
      </c>
      <c r="W811">
        <v>0</v>
      </c>
      <c r="X811">
        <v>0</v>
      </c>
      <c r="Y811">
        <v>0</v>
      </c>
      <c r="Z811">
        <v>0</v>
      </c>
      <c r="AA811">
        <v>2</v>
      </c>
      <c r="AB811">
        <v>0</v>
      </c>
      <c r="AC811">
        <v>0</v>
      </c>
      <c r="AD811">
        <v>0</v>
      </c>
      <c r="AE811">
        <v>0</v>
      </c>
      <c r="AF811">
        <v>1</v>
      </c>
      <c r="AG811">
        <v>0</v>
      </c>
      <c r="AH811">
        <v>4</v>
      </c>
      <c r="AI811">
        <v>2</v>
      </c>
      <c r="AJ811">
        <v>14</v>
      </c>
      <c r="AK811">
        <v>1</v>
      </c>
      <c r="AL811">
        <v>7</v>
      </c>
      <c r="AM811">
        <v>2</v>
      </c>
      <c r="AN811" t="s">
        <v>3799</v>
      </c>
      <c r="AO811" t="s">
        <v>3800</v>
      </c>
      <c r="AP811">
        <v>0.65100000000000002</v>
      </c>
      <c r="AQ811" t="s">
        <v>69</v>
      </c>
      <c r="AR811">
        <v>21</v>
      </c>
      <c r="AS811">
        <v>3</v>
      </c>
      <c r="AT811">
        <v>2.2890000000000001E-2</v>
      </c>
      <c r="AU811">
        <v>-3.2299999999999998E-3</v>
      </c>
      <c r="AV811">
        <v>9.9349999999999994E-2</v>
      </c>
      <c r="AW811">
        <v>-1.417E-2</v>
      </c>
      <c r="AX811">
        <v>4.1000000000000003E-3</v>
      </c>
      <c r="AY811">
        <v>-7.2000000000000005E-4</v>
      </c>
      <c r="AZ811">
        <v>4.1309999999999999E-2</v>
      </c>
      <c r="BA811">
        <v>1</v>
      </c>
      <c r="BB811" t="s">
        <v>70</v>
      </c>
      <c r="BC811">
        <v>-7.6999999999999999E-2</v>
      </c>
      <c r="BD811">
        <v>-7.6999999999999999E-2</v>
      </c>
      <c r="BE811" t="s">
        <v>71</v>
      </c>
    </row>
    <row r="812" spans="1:57">
      <c r="A812">
        <v>3819</v>
      </c>
      <c r="B812" t="s">
        <v>3801</v>
      </c>
      <c r="D812" t="s">
        <v>66</v>
      </c>
      <c r="E812" t="s">
        <v>3802</v>
      </c>
      <c r="F812" t="s">
        <v>74</v>
      </c>
      <c r="G812">
        <v>433</v>
      </c>
      <c r="H812" t="s">
        <v>63</v>
      </c>
      <c r="I812">
        <v>5</v>
      </c>
      <c r="J812" t="str">
        <f>HYPERLINK("Gene3819-zp_tree_all.dnd", "Gene3819-tree")</f>
        <v>Gene3819-tree</v>
      </c>
      <c r="K812">
        <v>1</v>
      </c>
      <c r="L812">
        <v>4</v>
      </c>
      <c r="M812">
        <v>1</v>
      </c>
      <c r="N812">
        <v>4</v>
      </c>
      <c r="O812">
        <v>0.8</v>
      </c>
      <c r="P812" t="s">
        <v>65</v>
      </c>
      <c r="Q812" t="s">
        <v>64</v>
      </c>
      <c r="R812" t="s">
        <v>66</v>
      </c>
      <c r="S812" t="s">
        <v>66</v>
      </c>
      <c r="T812">
        <v>0</v>
      </c>
      <c r="U812">
        <v>0</v>
      </c>
      <c r="V812">
        <v>9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9</v>
      </c>
      <c r="AG812">
        <v>0</v>
      </c>
      <c r="AH812">
        <v>5</v>
      </c>
      <c r="AI812">
        <v>2</v>
      </c>
      <c r="AJ812">
        <v>29</v>
      </c>
      <c r="AK812">
        <v>7</v>
      </c>
      <c r="AL812">
        <v>39</v>
      </c>
      <c r="AM812">
        <v>2</v>
      </c>
      <c r="AN812" t="s">
        <v>3803</v>
      </c>
      <c r="AO812" t="s">
        <v>3804</v>
      </c>
      <c r="AP812">
        <v>2.1070000000000002</v>
      </c>
      <c r="AQ812" t="s">
        <v>239</v>
      </c>
      <c r="AR812">
        <v>68</v>
      </c>
      <c r="AS812">
        <v>9</v>
      </c>
      <c r="AT812">
        <v>2.81E-2</v>
      </c>
      <c r="AU812">
        <v>-3.98E-3</v>
      </c>
      <c r="AV812">
        <v>0.12264</v>
      </c>
      <c r="AW812">
        <v>-1.9380000000000001E-2</v>
      </c>
      <c r="AX812">
        <v>4.0800000000000003E-3</v>
      </c>
      <c r="AY812">
        <v>-4.6000000000000001E-4</v>
      </c>
      <c r="AZ812">
        <v>3.3300000000000003E-2</v>
      </c>
      <c r="BA812">
        <v>1</v>
      </c>
      <c r="BB812" t="s">
        <v>70</v>
      </c>
      <c r="BC812">
        <v>0.77300000000000002</v>
      </c>
      <c r="BD812">
        <v>6.4000000000000001E-2</v>
      </c>
      <c r="BE812" t="s">
        <v>71</v>
      </c>
    </row>
    <row r="813" spans="1:57">
      <c r="A813">
        <v>3820</v>
      </c>
      <c r="B813" t="s">
        <v>3805</v>
      </c>
      <c r="D813" t="s">
        <v>66</v>
      </c>
      <c r="E813" t="s">
        <v>3806</v>
      </c>
      <c r="F813" t="s">
        <v>74</v>
      </c>
      <c r="G813">
        <v>74</v>
      </c>
      <c r="H813" t="s">
        <v>63</v>
      </c>
      <c r="I813">
        <v>5</v>
      </c>
      <c r="J813" t="str">
        <f>HYPERLINK("Gene3820-zp_tree_all.dnd", "Gene3820-tree")</f>
        <v>Gene3820-tree</v>
      </c>
      <c r="K813">
        <v>5</v>
      </c>
      <c r="L813">
        <v>0</v>
      </c>
      <c r="M813">
        <v>4</v>
      </c>
      <c r="N813">
        <v>0</v>
      </c>
      <c r="O813">
        <v>0</v>
      </c>
      <c r="P813" t="s">
        <v>135</v>
      </c>
      <c r="Q813" t="s">
        <v>66</v>
      </c>
      <c r="R813" t="s">
        <v>66</v>
      </c>
      <c r="S813" t="s">
        <v>66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2</v>
      </c>
      <c r="AI813">
        <v>1</v>
      </c>
      <c r="AJ813">
        <v>3</v>
      </c>
      <c r="AK813">
        <v>0</v>
      </c>
      <c r="AL813">
        <v>2</v>
      </c>
      <c r="AM813">
        <v>0</v>
      </c>
      <c r="AN813" t="s">
        <v>68</v>
      </c>
      <c r="AO813" t="s">
        <v>68</v>
      </c>
      <c r="AP813">
        <v>0</v>
      </c>
      <c r="AQ813" t="s">
        <v>69</v>
      </c>
      <c r="AR813">
        <v>5</v>
      </c>
      <c r="AS813">
        <v>0</v>
      </c>
      <c r="AT813">
        <v>1.2760000000000001E-2</v>
      </c>
      <c r="AU813">
        <v>-2.47E-3</v>
      </c>
      <c r="AV813">
        <v>6.0769999999999998E-2</v>
      </c>
      <c r="AW813">
        <v>-1.222E-2</v>
      </c>
      <c r="AX813">
        <v>0</v>
      </c>
      <c r="AY813">
        <v>0</v>
      </c>
      <c r="AZ813">
        <v>0</v>
      </c>
      <c r="BA813">
        <v>1</v>
      </c>
      <c r="BB813" t="s">
        <v>70</v>
      </c>
      <c r="BC813">
        <v>0</v>
      </c>
      <c r="BD813">
        <v>0</v>
      </c>
      <c r="BE813" t="s">
        <v>71</v>
      </c>
    </row>
    <row r="814" spans="1:57">
      <c r="A814">
        <v>3825</v>
      </c>
      <c r="B814" t="s">
        <v>3807</v>
      </c>
      <c r="D814" t="s">
        <v>66</v>
      </c>
      <c r="E814" t="s">
        <v>3808</v>
      </c>
      <c r="F814" t="s">
        <v>3809</v>
      </c>
      <c r="G814">
        <v>323</v>
      </c>
      <c r="H814" t="s">
        <v>63</v>
      </c>
      <c r="I814">
        <v>5</v>
      </c>
      <c r="J814" t="str">
        <f>HYPERLINK("Gene3825-zp_tree_all.dnd", "Gene3825-tree")</f>
        <v>Gene3825-tree</v>
      </c>
      <c r="K814">
        <v>1</v>
      </c>
      <c r="L814">
        <v>4</v>
      </c>
      <c r="M814">
        <v>1</v>
      </c>
      <c r="N814">
        <v>4</v>
      </c>
      <c r="O814">
        <v>0.8</v>
      </c>
      <c r="P814" t="s">
        <v>65</v>
      </c>
      <c r="Q814" t="s">
        <v>64</v>
      </c>
      <c r="R814" t="s">
        <v>66</v>
      </c>
      <c r="S814" t="s">
        <v>66</v>
      </c>
      <c r="T814">
        <v>1</v>
      </c>
      <c r="U814">
        <v>2</v>
      </c>
      <c r="V814">
        <v>5</v>
      </c>
      <c r="W814">
        <v>0.28571000000000002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2</v>
      </c>
      <c r="AE814">
        <v>2</v>
      </c>
      <c r="AF814">
        <v>5</v>
      </c>
      <c r="AG814">
        <v>0.28571000000000002</v>
      </c>
      <c r="AH814">
        <v>5</v>
      </c>
      <c r="AI814">
        <v>2</v>
      </c>
      <c r="AJ814">
        <v>25</v>
      </c>
      <c r="AK814">
        <v>4</v>
      </c>
      <c r="AL814">
        <v>17</v>
      </c>
      <c r="AM814">
        <v>3</v>
      </c>
      <c r="AN814" t="s">
        <v>3810</v>
      </c>
      <c r="AO814" t="s">
        <v>3811</v>
      </c>
      <c r="AP814">
        <v>7.8E-2</v>
      </c>
      <c r="AQ814" t="s">
        <v>69</v>
      </c>
      <c r="AR814">
        <v>42</v>
      </c>
      <c r="AS814">
        <v>7</v>
      </c>
      <c r="AT814">
        <v>2.3939999999999999E-2</v>
      </c>
      <c r="AU814">
        <v>-3.46E-3</v>
      </c>
      <c r="AV814">
        <v>9.5100000000000004E-2</v>
      </c>
      <c r="AW814">
        <v>-1.465E-2</v>
      </c>
      <c r="AX814">
        <v>4.5900000000000003E-3</v>
      </c>
      <c r="AY814">
        <v>-6.8999999999999997E-4</v>
      </c>
      <c r="AZ814">
        <v>4.8230000000000002E-2</v>
      </c>
      <c r="BA814">
        <v>1</v>
      </c>
      <c r="BB814" t="s">
        <v>70</v>
      </c>
      <c r="BC814">
        <v>5.1999999999999998E-2</v>
      </c>
      <c r="BD814">
        <v>5.1999999999999998E-2</v>
      </c>
      <c r="BE814" t="s">
        <v>71</v>
      </c>
    </row>
    <row r="815" spans="1:57">
      <c r="A815">
        <v>3833</v>
      </c>
      <c r="B815" t="s">
        <v>3812</v>
      </c>
      <c r="D815" t="s">
        <v>66</v>
      </c>
      <c r="E815" t="s">
        <v>3813</v>
      </c>
      <c r="F815" t="s">
        <v>3814</v>
      </c>
      <c r="G815">
        <v>204</v>
      </c>
      <c r="H815" t="s">
        <v>85</v>
      </c>
      <c r="I815">
        <v>4</v>
      </c>
      <c r="J815" t="str">
        <f>HYPERLINK("Gene3833-zp_tree_all.dnd", "Gene3833-tree")</f>
        <v>Gene3833-tree</v>
      </c>
      <c r="K815">
        <v>3</v>
      </c>
      <c r="L815">
        <v>1</v>
      </c>
      <c r="M815">
        <v>3</v>
      </c>
      <c r="N815">
        <v>1</v>
      </c>
      <c r="O815">
        <v>0.25</v>
      </c>
      <c r="P815" t="s">
        <v>86</v>
      </c>
      <c r="Q815" t="s">
        <v>65</v>
      </c>
      <c r="R815" t="s">
        <v>66</v>
      </c>
      <c r="S815" t="s">
        <v>66</v>
      </c>
      <c r="T815">
        <v>0</v>
      </c>
      <c r="U815">
        <v>0</v>
      </c>
      <c r="V815">
        <v>4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4</v>
      </c>
      <c r="AG815">
        <v>0</v>
      </c>
      <c r="AH815">
        <v>3</v>
      </c>
      <c r="AI815">
        <v>1</v>
      </c>
      <c r="AJ815">
        <v>26</v>
      </c>
      <c r="AK815">
        <v>4</v>
      </c>
      <c r="AL815">
        <v>1</v>
      </c>
      <c r="AM815">
        <v>0</v>
      </c>
      <c r="AN815" t="s">
        <v>3815</v>
      </c>
      <c r="AO815" t="s">
        <v>68</v>
      </c>
      <c r="AP815">
        <v>0.48</v>
      </c>
      <c r="AQ815" t="s">
        <v>69</v>
      </c>
      <c r="AR815">
        <v>27</v>
      </c>
      <c r="AS815">
        <v>4</v>
      </c>
      <c r="AT815">
        <v>2.5329999999999998E-2</v>
      </c>
      <c r="AU815">
        <v>-9.0100000000000006E-3</v>
      </c>
      <c r="AV815">
        <v>0.11225</v>
      </c>
      <c r="AW815">
        <v>-3.986E-2</v>
      </c>
      <c r="AX815">
        <v>4.2300000000000003E-3</v>
      </c>
      <c r="AY815">
        <v>-1.73E-3</v>
      </c>
      <c r="AZ815">
        <v>3.7690000000000001E-2</v>
      </c>
      <c r="BA815">
        <v>1</v>
      </c>
      <c r="BB815" t="s">
        <v>70</v>
      </c>
      <c r="BC815">
        <v>-0.54600000000000004</v>
      </c>
      <c r="BD815">
        <v>-0.86099999999999999</v>
      </c>
      <c r="BE815" t="s">
        <v>71</v>
      </c>
    </row>
    <row r="816" spans="1:57">
      <c r="A816">
        <v>3833</v>
      </c>
      <c r="B816" t="s">
        <v>3812</v>
      </c>
      <c r="D816" t="s">
        <v>66</v>
      </c>
      <c r="E816" t="s">
        <v>3813</v>
      </c>
      <c r="F816" t="s">
        <v>3814</v>
      </c>
      <c r="G816">
        <v>204</v>
      </c>
      <c r="H816" t="s">
        <v>85</v>
      </c>
      <c r="I816">
        <v>4</v>
      </c>
      <c r="J816" t="str">
        <f>HYPERLINK("Gene3833-zp_tree_all.dnd", "Gene3833-tree")</f>
        <v>Gene3833-tree</v>
      </c>
      <c r="K816">
        <v>3</v>
      </c>
      <c r="L816">
        <v>1</v>
      </c>
      <c r="M816">
        <v>3</v>
      </c>
      <c r="N816">
        <v>1</v>
      </c>
      <c r="O816">
        <v>0.25</v>
      </c>
      <c r="P816" t="s">
        <v>86</v>
      </c>
      <c r="Q816" t="s">
        <v>65</v>
      </c>
      <c r="R816" t="s">
        <v>66</v>
      </c>
      <c r="S816" t="s">
        <v>66</v>
      </c>
      <c r="T816">
        <v>0</v>
      </c>
      <c r="U816">
        <v>0</v>
      </c>
      <c r="V816">
        <v>4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4</v>
      </c>
      <c r="AG816">
        <v>0</v>
      </c>
      <c r="AH816">
        <v>3</v>
      </c>
      <c r="AI816">
        <v>1</v>
      </c>
      <c r="AJ816">
        <v>26</v>
      </c>
      <c r="AK816">
        <v>4</v>
      </c>
      <c r="AL816">
        <v>1</v>
      </c>
      <c r="AM816">
        <v>0</v>
      </c>
      <c r="AN816" t="s">
        <v>3815</v>
      </c>
      <c r="AO816" t="s">
        <v>68</v>
      </c>
      <c r="AP816">
        <v>0.48</v>
      </c>
      <c r="AQ816" t="s">
        <v>69</v>
      </c>
      <c r="AR816">
        <v>27</v>
      </c>
      <c r="AS816">
        <v>4</v>
      </c>
      <c r="AT816">
        <v>2.5329999999999998E-2</v>
      </c>
      <c r="AU816">
        <v>-9.0100000000000006E-3</v>
      </c>
      <c r="AV816">
        <v>0.11225</v>
      </c>
      <c r="AW816">
        <v>-3.986E-2</v>
      </c>
      <c r="AX816">
        <v>4.2300000000000003E-3</v>
      </c>
      <c r="AY816">
        <v>-1.73E-3</v>
      </c>
      <c r="AZ816">
        <v>3.7690000000000001E-2</v>
      </c>
      <c r="BA816">
        <v>1</v>
      </c>
      <c r="BB816" t="s">
        <v>70</v>
      </c>
      <c r="BC816">
        <v>-0.54600000000000004</v>
      </c>
      <c r="BD816">
        <v>-0.86099999999999999</v>
      </c>
      <c r="BE816" t="s">
        <v>71</v>
      </c>
    </row>
    <row r="817" spans="1:57">
      <c r="A817">
        <v>3850</v>
      </c>
      <c r="B817" t="s">
        <v>3816</v>
      </c>
      <c r="D817" t="s">
        <v>66</v>
      </c>
      <c r="E817" t="s">
        <v>3817</v>
      </c>
      <c r="F817" t="s">
        <v>3818</v>
      </c>
      <c r="G817">
        <v>256</v>
      </c>
      <c r="H817" t="s">
        <v>63</v>
      </c>
      <c r="I817">
        <v>5</v>
      </c>
      <c r="J817" t="str">
        <f>HYPERLINK("Gene3850-zp_tree_all.dnd", "Gene3850-tree")</f>
        <v>Gene3850-tree</v>
      </c>
      <c r="K817">
        <v>2</v>
      </c>
      <c r="L817">
        <v>3</v>
      </c>
      <c r="M817">
        <v>2</v>
      </c>
      <c r="N817">
        <v>3</v>
      </c>
      <c r="O817">
        <v>0.6</v>
      </c>
      <c r="P817" t="s">
        <v>124</v>
      </c>
      <c r="Q817" t="s">
        <v>86</v>
      </c>
      <c r="R817" t="s">
        <v>66</v>
      </c>
      <c r="S817" t="s">
        <v>66</v>
      </c>
      <c r="T817">
        <v>2</v>
      </c>
      <c r="U817">
        <v>4</v>
      </c>
      <c r="V817">
        <v>11</v>
      </c>
      <c r="W817">
        <v>0.26667000000000002</v>
      </c>
      <c r="X817">
        <v>0</v>
      </c>
      <c r="Y817">
        <v>0</v>
      </c>
      <c r="Z817">
        <v>0</v>
      </c>
      <c r="AA817">
        <v>2</v>
      </c>
      <c r="AB817">
        <v>0</v>
      </c>
      <c r="AC817">
        <v>0</v>
      </c>
      <c r="AD817">
        <v>2</v>
      </c>
      <c r="AE817">
        <v>2</v>
      </c>
      <c r="AF817">
        <v>11</v>
      </c>
      <c r="AG817">
        <v>0.15384999999999999</v>
      </c>
      <c r="AH817">
        <v>5</v>
      </c>
      <c r="AI817">
        <v>2</v>
      </c>
      <c r="AJ817">
        <v>25</v>
      </c>
      <c r="AK817">
        <v>11</v>
      </c>
      <c r="AL817">
        <v>17</v>
      </c>
      <c r="AM817">
        <v>4</v>
      </c>
      <c r="AN817" t="s">
        <v>3819</v>
      </c>
      <c r="AO817" t="s">
        <v>3820</v>
      </c>
      <c r="AP817">
        <v>0.45800000000000002</v>
      </c>
      <c r="AQ817" t="s">
        <v>69</v>
      </c>
      <c r="AR817">
        <v>42</v>
      </c>
      <c r="AS817">
        <v>15</v>
      </c>
      <c r="AT817">
        <v>3.3459999999999997E-2</v>
      </c>
      <c r="AU817">
        <v>-5.3800000000000002E-3</v>
      </c>
      <c r="AV817">
        <v>0.12672</v>
      </c>
      <c r="AW817">
        <v>-2.1669999999999998E-2</v>
      </c>
      <c r="AX817">
        <v>1.0789999999999999E-2</v>
      </c>
      <c r="AY817">
        <v>-1.73E-3</v>
      </c>
      <c r="AZ817">
        <v>8.5139999999999993E-2</v>
      </c>
      <c r="BA817">
        <v>1</v>
      </c>
      <c r="BB817" t="s">
        <v>70</v>
      </c>
      <c r="BC817">
        <v>7.6999999999999999E-2</v>
      </c>
      <c r="BD817">
        <v>-0.36799999999999999</v>
      </c>
      <c r="BE817" t="s">
        <v>71</v>
      </c>
    </row>
    <row r="818" spans="1:57">
      <c r="A818">
        <v>3861</v>
      </c>
      <c r="B818" t="s">
        <v>3821</v>
      </c>
      <c r="D818" t="s">
        <v>60</v>
      </c>
      <c r="E818" t="s">
        <v>3822</v>
      </c>
      <c r="F818" t="s">
        <v>3823</v>
      </c>
      <c r="G818">
        <v>271</v>
      </c>
      <c r="H818" t="s">
        <v>63</v>
      </c>
      <c r="I818">
        <v>5</v>
      </c>
      <c r="J818" t="str">
        <f>HYPERLINK("Gene3861-zp_tree_all.dnd", "Gene3861-tree")</f>
        <v>Gene3861-tree</v>
      </c>
      <c r="K818">
        <v>1</v>
      </c>
      <c r="L818">
        <v>4</v>
      </c>
      <c r="M818">
        <v>1</v>
      </c>
      <c r="N818">
        <v>3</v>
      </c>
      <c r="O818">
        <v>0.75</v>
      </c>
      <c r="P818" t="s">
        <v>65</v>
      </c>
      <c r="Q818" t="s">
        <v>112</v>
      </c>
      <c r="R818">
        <v>5</v>
      </c>
      <c r="S818" t="s">
        <v>239</v>
      </c>
      <c r="T818">
        <v>0</v>
      </c>
      <c r="U818">
        <v>0</v>
      </c>
      <c r="V818">
        <v>4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4</v>
      </c>
      <c r="AG818">
        <v>0</v>
      </c>
      <c r="AH818">
        <v>4</v>
      </c>
      <c r="AI818">
        <v>1</v>
      </c>
      <c r="AJ818">
        <v>34</v>
      </c>
      <c r="AK818">
        <v>3</v>
      </c>
      <c r="AL818">
        <v>21</v>
      </c>
      <c r="AM818">
        <v>1</v>
      </c>
      <c r="AN818" t="s">
        <v>3824</v>
      </c>
      <c r="AO818" t="s">
        <v>3825</v>
      </c>
      <c r="AP818">
        <v>1.6859999999999999</v>
      </c>
      <c r="AQ818" t="s">
        <v>69</v>
      </c>
      <c r="AR818">
        <v>55</v>
      </c>
      <c r="AS818">
        <v>4</v>
      </c>
      <c r="AT818">
        <v>3.9359999999999999E-2</v>
      </c>
      <c r="AU818">
        <v>-5.3699999999999998E-3</v>
      </c>
      <c r="AV818">
        <v>0.17760000000000001</v>
      </c>
      <c r="AW818">
        <v>-2.6919999999999999E-2</v>
      </c>
      <c r="AX818">
        <v>3.5000000000000001E-3</v>
      </c>
      <c r="AY818">
        <v>-4.4999999999999999E-4</v>
      </c>
      <c r="AZ818">
        <v>1.968E-2</v>
      </c>
      <c r="BA818">
        <v>1</v>
      </c>
      <c r="BB818" t="s">
        <v>70</v>
      </c>
      <c r="BC818">
        <v>0.372</v>
      </c>
      <c r="BD818">
        <v>0.114</v>
      </c>
      <c r="BE818" t="s">
        <v>71</v>
      </c>
    </row>
    <row r="819" spans="1:57">
      <c r="A819">
        <v>3866</v>
      </c>
      <c r="B819" t="s">
        <v>3826</v>
      </c>
      <c r="D819" t="s">
        <v>66</v>
      </c>
      <c r="E819" t="s">
        <v>3827</v>
      </c>
      <c r="F819" t="s">
        <v>3828</v>
      </c>
      <c r="G819">
        <v>276</v>
      </c>
      <c r="H819" t="s">
        <v>1308</v>
      </c>
      <c r="I819">
        <v>4</v>
      </c>
      <c r="J819" t="str">
        <f>HYPERLINK("Gene3866-zp_tree_all.dnd", "Gene3866-tree")</f>
        <v>Gene3866-tree</v>
      </c>
      <c r="K819">
        <v>1</v>
      </c>
      <c r="L819">
        <v>3</v>
      </c>
      <c r="M819">
        <v>1</v>
      </c>
      <c r="N819">
        <v>3</v>
      </c>
      <c r="O819">
        <v>0.75</v>
      </c>
      <c r="P819" t="s">
        <v>65</v>
      </c>
      <c r="Q819" t="s">
        <v>86</v>
      </c>
      <c r="R819" t="s">
        <v>66</v>
      </c>
      <c r="S819" t="s">
        <v>66</v>
      </c>
      <c r="T819">
        <v>0</v>
      </c>
      <c r="U819">
        <v>0</v>
      </c>
      <c r="V819">
        <v>6</v>
      </c>
      <c r="W819">
        <v>0</v>
      </c>
      <c r="X819">
        <v>0</v>
      </c>
      <c r="Y819">
        <v>0</v>
      </c>
      <c r="Z819">
        <v>0</v>
      </c>
      <c r="AA819">
        <v>2</v>
      </c>
      <c r="AB819">
        <v>0</v>
      </c>
      <c r="AC819">
        <v>0</v>
      </c>
      <c r="AD819">
        <v>0</v>
      </c>
      <c r="AE819">
        <v>0</v>
      </c>
      <c r="AF819">
        <v>4</v>
      </c>
      <c r="AG819">
        <v>0</v>
      </c>
      <c r="AH819">
        <v>3</v>
      </c>
      <c r="AI819">
        <v>1</v>
      </c>
      <c r="AJ819">
        <v>14</v>
      </c>
      <c r="AK819">
        <v>4</v>
      </c>
      <c r="AL819">
        <v>11</v>
      </c>
      <c r="AM819">
        <v>2</v>
      </c>
      <c r="AN819" t="s">
        <v>3829</v>
      </c>
      <c r="AO819" t="s">
        <v>3830</v>
      </c>
      <c r="AP819">
        <v>0.46</v>
      </c>
      <c r="AQ819" t="s">
        <v>69</v>
      </c>
      <c r="AR819">
        <v>25</v>
      </c>
      <c r="AS819">
        <v>6</v>
      </c>
      <c r="AT819">
        <v>2.0930000000000001E-2</v>
      </c>
      <c r="AU819">
        <v>-3.7799999999999999E-3</v>
      </c>
      <c r="AV819">
        <v>8.4699999999999998E-2</v>
      </c>
      <c r="AW819">
        <v>-1.5859999999999999E-2</v>
      </c>
      <c r="AX819">
        <v>5.1399999999999996E-3</v>
      </c>
      <c r="AY819">
        <v>-1.07E-3</v>
      </c>
      <c r="AZ819">
        <v>6.0699999999999997E-2</v>
      </c>
      <c r="BA819">
        <v>1</v>
      </c>
      <c r="BB819" t="s">
        <v>70</v>
      </c>
      <c r="BC819">
        <v>0.61299999999999999</v>
      </c>
      <c r="BD819">
        <v>0.29699999999999999</v>
      </c>
      <c r="BE819" t="s">
        <v>71</v>
      </c>
    </row>
    <row r="820" spans="1:57">
      <c r="A820">
        <v>3867</v>
      </c>
      <c r="B820" t="s">
        <v>3831</v>
      </c>
      <c r="D820" t="s">
        <v>66</v>
      </c>
      <c r="E820" t="s">
        <v>3832</v>
      </c>
      <c r="F820" t="s">
        <v>74</v>
      </c>
      <c r="G820">
        <v>100</v>
      </c>
      <c r="H820" t="s">
        <v>63</v>
      </c>
      <c r="I820">
        <v>5</v>
      </c>
      <c r="J820" t="str">
        <f>HYPERLINK("Gene3867-zp_tree_all.dnd", "Gene3867-tree")</f>
        <v>Gene3867-tree</v>
      </c>
      <c r="K820">
        <v>5</v>
      </c>
      <c r="L820">
        <v>0</v>
      </c>
      <c r="M820">
        <v>4</v>
      </c>
      <c r="N820">
        <v>0</v>
      </c>
      <c r="O820">
        <v>0</v>
      </c>
      <c r="P820" t="s">
        <v>135</v>
      </c>
      <c r="Q820" t="s">
        <v>66</v>
      </c>
      <c r="R820" t="s">
        <v>66</v>
      </c>
      <c r="S820" t="s">
        <v>66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3</v>
      </c>
      <c r="AI820">
        <v>1</v>
      </c>
      <c r="AJ820">
        <v>6</v>
      </c>
      <c r="AK820">
        <v>0</v>
      </c>
      <c r="AL820">
        <v>5</v>
      </c>
      <c r="AM820">
        <v>0</v>
      </c>
      <c r="AN820" t="s">
        <v>68</v>
      </c>
      <c r="AO820" t="s">
        <v>68</v>
      </c>
      <c r="AP820">
        <v>0</v>
      </c>
      <c r="AQ820" t="s">
        <v>69</v>
      </c>
      <c r="AR820">
        <v>11</v>
      </c>
      <c r="AS820">
        <v>0</v>
      </c>
      <c r="AT820">
        <v>2.0559999999999998E-2</v>
      </c>
      <c r="AU820">
        <v>-3.8E-3</v>
      </c>
      <c r="AV820">
        <v>9.7549999999999998E-2</v>
      </c>
      <c r="AW820">
        <v>-1.8519999999999998E-2</v>
      </c>
      <c r="AX820">
        <v>0</v>
      </c>
      <c r="AY820">
        <v>0</v>
      </c>
      <c r="AZ820">
        <v>0</v>
      </c>
      <c r="BA820">
        <v>1</v>
      </c>
      <c r="BB820" t="s">
        <v>70</v>
      </c>
      <c r="BC820">
        <v>0.745</v>
      </c>
      <c r="BD820">
        <v>0</v>
      </c>
      <c r="BE820" t="s">
        <v>71</v>
      </c>
    </row>
    <row r="821" spans="1:57">
      <c r="A821">
        <v>3873</v>
      </c>
      <c r="B821" t="s">
        <v>3836</v>
      </c>
      <c r="D821" t="s">
        <v>66</v>
      </c>
      <c r="E821" t="s">
        <v>3837</v>
      </c>
      <c r="F821" t="s">
        <v>3838</v>
      </c>
      <c r="G821">
        <v>124</v>
      </c>
      <c r="H821" t="s">
        <v>63</v>
      </c>
      <c r="I821">
        <v>5</v>
      </c>
      <c r="J821" t="str">
        <f>HYPERLINK("Gene3873-zp_tree_all.dnd", "Gene3873-tree")</f>
        <v>Gene3873-tree</v>
      </c>
      <c r="K821">
        <v>5</v>
      </c>
      <c r="L821">
        <v>0</v>
      </c>
      <c r="M821">
        <v>4</v>
      </c>
      <c r="N821">
        <v>0</v>
      </c>
      <c r="O821">
        <v>0</v>
      </c>
      <c r="P821" t="s">
        <v>135</v>
      </c>
      <c r="Q821" t="s">
        <v>66</v>
      </c>
      <c r="R821" t="s">
        <v>66</v>
      </c>
      <c r="S821" t="s">
        <v>66</v>
      </c>
      <c r="T821">
        <v>0</v>
      </c>
      <c r="U821">
        <v>0</v>
      </c>
      <c r="V821">
        <v>2</v>
      </c>
      <c r="W821">
        <v>0</v>
      </c>
      <c r="X821">
        <v>0</v>
      </c>
      <c r="Y821">
        <v>0</v>
      </c>
      <c r="Z821">
        <v>0</v>
      </c>
      <c r="AA821">
        <v>2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3</v>
      </c>
      <c r="AI821">
        <v>1</v>
      </c>
      <c r="AJ821">
        <v>6</v>
      </c>
      <c r="AK821">
        <v>0</v>
      </c>
      <c r="AL821">
        <v>9</v>
      </c>
      <c r="AM821">
        <v>4</v>
      </c>
      <c r="AN821" t="s">
        <v>68</v>
      </c>
      <c r="AO821" t="s">
        <v>3839</v>
      </c>
      <c r="AP821">
        <v>0</v>
      </c>
      <c r="AQ821" t="s">
        <v>69</v>
      </c>
      <c r="AR821">
        <v>15</v>
      </c>
      <c r="AS821">
        <v>4</v>
      </c>
      <c r="AT821">
        <v>3.1359999999999999E-2</v>
      </c>
      <c r="AU821">
        <v>-6.8700000000000002E-3</v>
      </c>
      <c r="AV821">
        <v>0.11778</v>
      </c>
      <c r="AW821">
        <v>-2.4320000000000001E-2</v>
      </c>
      <c r="AX821">
        <v>9.3500000000000007E-3</v>
      </c>
      <c r="AY821">
        <v>-2.2000000000000001E-3</v>
      </c>
      <c r="AZ821">
        <v>7.9399999999999998E-2</v>
      </c>
      <c r="BA821">
        <v>1</v>
      </c>
      <c r="BB821" t="s">
        <v>70</v>
      </c>
      <c r="BC821">
        <v>0.874</v>
      </c>
      <c r="BD821">
        <v>0.874</v>
      </c>
      <c r="BE821" t="s">
        <v>71</v>
      </c>
    </row>
    <row r="822" spans="1:57">
      <c r="A822">
        <v>3874</v>
      </c>
      <c r="B822" t="s">
        <v>3840</v>
      </c>
      <c r="D822" t="s">
        <v>66</v>
      </c>
      <c r="E822" t="s">
        <v>3841</v>
      </c>
      <c r="F822" t="s">
        <v>3842</v>
      </c>
      <c r="G822">
        <v>204</v>
      </c>
      <c r="H822" t="s">
        <v>63</v>
      </c>
      <c r="I822">
        <v>5</v>
      </c>
      <c r="J822" t="str">
        <f>HYPERLINK("Gene3874-zp_tree_all.dnd", "Gene3874-tree")</f>
        <v>Gene3874-tree</v>
      </c>
      <c r="K822">
        <v>4</v>
      </c>
      <c r="L822">
        <v>1</v>
      </c>
      <c r="M822">
        <v>4</v>
      </c>
      <c r="N822">
        <v>1</v>
      </c>
      <c r="O822">
        <v>0.2</v>
      </c>
      <c r="P822" t="s">
        <v>64</v>
      </c>
      <c r="Q822" t="s">
        <v>65</v>
      </c>
      <c r="R822" t="s">
        <v>66</v>
      </c>
      <c r="S822" t="s">
        <v>66</v>
      </c>
      <c r="T822">
        <v>0</v>
      </c>
      <c r="U822">
        <v>0</v>
      </c>
      <c r="V822">
        <v>4</v>
      </c>
      <c r="W822">
        <v>0</v>
      </c>
      <c r="X822">
        <v>0</v>
      </c>
      <c r="Y822">
        <v>0</v>
      </c>
      <c r="Z822">
        <v>0</v>
      </c>
      <c r="AA822">
        <v>3</v>
      </c>
      <c r="AB822">
        <v>0</v>
      </c>
      <c r="AC822">
        <v>0</v>
      </c>
      <c r="AD822">
        <v>0</v>
      </c>
      <c r="AE822">
        <v>0</v>
      </c>
      <c r="AF822">
        <v>1</v>
      </c>
      <c r="AG822">
        <v>0</v>
      </c>
      <c r="AH822">
        <v>4</v>
      </c>
      <c r="AI822">
        <v>2</v>
      </c>
      <c r="AJ822">
        <v>7</v>
      </c>
      <c r="AK822">
        <v>1</v>
      </c>
      <c r="AL822">
        <v>9</v>
      </c>
      <c r="AM822">
        <v>3</v>
      </c>
      <c r="AN822" t="s">
        <v>3843</v>
      </c>
      <c r="AO822" t="s">
        <v>3844</v>
      </c>
      <c r="AP822">
        <v>0.42399999999999999</v>
      </c>
      <c r="AQ822" t="s">
        <v>69</v>
      </c>
      <c r="AR822">
        <v>16</v>
      </c>
      <c r="AS822">
        <v>4</v>
      </c>
      <c r="AT822">
        <v>1.6830000000000001E-2</v>
      </c>
      <c r="AU822">
        <v>-3.0300000000000001E-3</v>
      </c>
      <c r="AV822">
        <v>5.9839999999999997E-2</v>
      </c>
      <c r="AW822">
        <v>-1.014E-2</v>
      </c>
      <c r="AX822">
        <v>4.7099999999999998E-3</v>
      </c>
      <c r="AY822">
        <v>-1.1199999999999999E-3</v>
      </c>
      <c r="AZ822">
        <v>7.8670000000000004E-2</v>
      </c>
      <c r="BA822">
        <v>1</v>
      </c>
      <c r="BB822" t="s">
        <v>70</v>
      </c>
      <c r="BC822">
        <v>0.95499999999999996</v>
      </c>
      <c r="BD822">
        <v>0.55000000000000004</v>
      </c>
      <c r="BE822" t="s">
        <v>71</v>
      </c>
    </row>
    <row r="823" spans="1:57">
      <c r="A823">
        <v>3875</v>
      </c>
      <c r="B823" t="s">
        <v>3845</v>
      </c>
      <c r="D823" t="s">
        <v>66</v>
      </c>
      <c r="E823" t="s">
        <v>3846</v>
      </c>
      <c r="F823" t="s">
        <v>3847</v>
      </c>
      <c r="G823">
        <v>649</v>
      </c>
      <c r="H823" t="s">
        <v>63</v>
      </c>
      <c r="I823">
        <v>5</v>
      </c>
      <c r="J823" t="str">
        <f>HYPERLINK("Gene3875-zp_tree_all.dnd", "Gene3875-tree")</f>
        <v>Gene3875-tree</v>
      </c>
      <c r="K823">
        <v>4</v>
      </c>
      <c r="L823">
        <v>1</v>
      </c>
      <c r="M823">
        <v>4</v>
      </c>
      <c r="N823">
        <v>1</v>
      </c>
      <c r="O823">
        <v>0.2</v>
      </c>
      <c r="P823" t="s">
        <v>64</v>
      </c>
      <c r="Q823" t="s">
        <v>65</v>
      </c>
      <c r="R823" t="s">
        <v>66</v>
      </c>
      <c r="S823" t="s">
        <v>66</v>
      </c>
      <c r="T823">
        <v>0</v>
      </c>
      <c r="U823">
        <v>0</v>
      </c>
      <c r="V823">
        <v>7</v>
      </c>
      <c r="W823">
        <v>0</v>
      </c>
      <c r="X823">
        <v>0</v>
      </c>
      <c r="Y823">
        <v>0</v>
      </c>
      <c r="Z823">
        <v>0</v>
      </c>
      <c r="AA823">
        <v>5</v>
      </c>
      <c r="AB823">
        <v>0</v>
      </c>
      <c r="AC823">
        <v>0</v>
      </c>
      <c r="AD823">
        <v>0</v>
      </c>
      <c r="AE823">
        <v>0</v>
      </c>
      <c r="AF823">
        <v>2</v>
      </c>
      <c r="AG823">
        <v>0</v>
      </c>
      <c r="AH823">
        <v>5</v>
      </c>
      <c r="AI823">
        <v>2</v>
      </c>
      <c r="AJ823">
        <v>36</v>
      </c>
      <c r="AK823">
        <v>2</v>
      </c>
      <c r="AL823">
        <v>59</v>
      </c>
      <c r="AM823">
        <v>5</v>
      </c>
      <c r="AN823" t="s">
        <v>3848</v>
      </c>
      <c r="AO823" t="s">
        <v>3849</v>
      </c>
      <c r="AP823">
        <v>0.155</v>
      </c>
      <c r="AQ823" t="s">
        <v>69</v>
      </c>
      <c r="AR823">
        <v>95</v>
      </c>
      <c r="AS823">
        <v>7</v>
      </c>
      <c r="AT823">
        <v>2.6859999999999998E-2</v>
      </c>
      <c r="AU823">
        <v>-5.1900000000000002E-3</v>
      </c>
      <c r="AV823">
        <v>0.12381</v>
      </c>
      <c r="AW823">
        <v>-2.427E-2</v>
      </c>
      <c r="AX823">
        <v>2.5200000000000001E-3</v>
      </c>
      <c r="AY823">
        <v>-5.9999999999999995E-4</v>
      </c>
      <c r="AZ823">
        <v>2.0389999999999998E-2</v>
      </c>
      <c r="BA823">
        <v>1</v>
      </c>
      <c r="BB823" t="s">
        <v>70</v>
      </c>
      <c r="BC823">
        <v>0.93700000000000006</v>
      </c>
      <c r="BD823">
        <v>0.79</v>
      </c>
      <c r="BE823" t="s">
        <v>71</v>
      </c>
    </row>
    <row r="824" spans="1:57">
      <c r="A824">
        <v>3876</v>
      </c>
      <c r="B824" t="s">
        <v>3850</v>
      </c>
      <c r="D824" t="s">
        <v>66</v>
      </c>
      <c r="E824" t="s">
        <v>3851</v>
      </c>
      <c r="F824" t="s">
        <v>3852</v>
      </c>
      <c r="G824">
        <v>321</v>
      </c>
      <c r="H824" t="s">
        <v>63</v>
      </c>
      <c r="I824">
        <v>5</v>
      </c>
      <c r="J824" t="str">
        <f>HYPERLINK("Gene3876-zp_tree_all.dnd", "Gene3876-tree")</f>
        <v>Gene3876-tree</v>
      </c>
      <c r="K824">
        <v>4</v>
      </c>
      <c r="L824">
        <v>1</v>
      </c>
      <c r="M824">
        <v>4</v>
      </c>
      <c r="N824">
        <v>1</v>
      </c>
      <c r="O824">
        <v>0.2</v>
      </c>
      <c r="P824" t="s">
        <v>64</v>
      </c>
      <c r="Q824" t="s">
        <v>65</v>
      </c>
      <c r="R824" t="s">
        <v>66</v>
      </c>
      <c r="S824" t="s">
        <v>66</v>
      </c>
      <c r="T824">
        <v>0</v>
      </c>
      <c r="U824">
        <v>0</v>
      </c>
      <c r="V824">
        <v>6</v>
      </c>
      <c r="W824">
        <v>0</v>
      </c>
      <c r="X824">
        <v>0</v>
      </c>
      <c r="Y824">
        <v>0</v>
      </c>
      <c r="Z824">
        <v>0</v>
      </c>
      <c r="AA824">
        <v>4</v>
      </c>
      <c r="AB824">
        <v>0</v>
      </c>
      <c r="AC824">
        <v>0</v>
      </c>
      <c r="AD824">
        <v>0</v>
      </c>
      <c r="AE824">
        <v>0</v>
      </c>
      <c r="AF824">
        <v>2</v>
      </c>
      <c r="AG824">
        <v>0</v>
      </c>
      <c r="AH824">
        <v>4</v>
      </c>
      <c r="AI824">
        <v>2</v>
      </c>
      <c r="AJ824">
        <v>19</v>
      </c>
      <c r="AK824">
        <v>2</v>
      </c>
      <c r="AL824">
        <v>25</v>
      </c>
      <c r="AM824">
        <v>4</v>
      </c>
      <c r="AN824" t="s">
        <v>3853</v>
      </c>
      <c r="AO824" t="s">
        <v>3854</v>
      </c>
      <c r="AP824">
        <v>0.17100000000000001</v>
      </c>
      <c r="AQ824" t="s">
        <v>69</v>
      </c>
      <c r="AR824">
        <v>44</v>
      </c>
      <c r="AS824">
        <v>6</v>
      </c>
      <c r="AT824">
        <v>2.6270000000000002E-2</v>
      </c>
      <c r="AU824">
        <v>-5.2700000000000004E-3</v>
      </c>
      <c r="AV824">
        <v>0.11210000000000001</v>
      </c>
      <c r="AW824">
        <v>-2.2419999999999999E-2</v>
      </c>
      <c r="AX824">
        <v>4.3200000000000001E-3</v>
      </c>
      <c r="AY824">
        <v>-1.0200000000000001E-3</v>
      </c>
      <c r="AZ824">
        <v>3.8510000000000003E-2</v>
      </c>
      <c r="BA824">
        <v>1</v>
      </c>
      <c r="BB824" t="s">
        <v>70</v>
      </c>
      <c r="BC824">
        <v>0.74</v>
      </c>
      <c r="BD824">
        <v>0.44500000000000001</v>
      </c>
      <c r="BE824" t="s">
        <v>71</v>
      </c>
    </row>
    <row r="825" spans="1:57">
      <c r="A825">
        <v>3908</v>
      </c>
      <c r="B825" t="s">
        <v>3869</v>
      </c>
      <c r="D825" t="s">
        <v>66</v>
      </c>
      <c r="E825" t="s">
        <v>3870</v>
      </c>
      <c r="F825" t="s">
        <v>3871</v>
      </c>
      <c r="G825">
        <v>210</v>
      </c>
      <c r="H825" t="s">
        <v>106</v>
      </c>
      <c r="I825">
        <v>4</v>
      </c>
      <c r="J825" t="str">
        <f>HYPERLINK("Gene3908-zp_tree_all.dnd", "Gene3908-tree")</f>
        <v>Gene3908-tree</v>
      </c>
      <c r="K825">
        <v>3</v>
      </c>
      <c r="L825">
        <v>1</v>
      </c>
      <c r="M825">
        <v>3</v>
      </c>
      <c r="N825">
        <v>1</v>
      </c>
      <c r="O825">
        <v>0.25</v>
      </c>
      <c r="P825" t="s">
        <v>86</v>
      </c>
      <c r="Q825" t="s">
        <v>65</v>
      </c>
      <c r="R825" t="s">
        <v>66</v>
      </c>
      <c r="S825" t="s">
        <v>66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1</v>
      </c>
      <c r="AG825">
        <v>0</v>
      </c>
      <c r="AH825">
        <v>4</v>
      </c>
      <c r="AI825">
        <v>1</v>
      </c>
      <c r="AJ825">
        <v>31</v>
      </c>
      <c r="AK825">
        <v>2</v>
      </c>
      <c r="AL825">
        <v>1</v>
      </c>
      <c r="AM825">
        <v>0</v>
      </c>
      <c r="AN825" t="s">
        <v>3872</v>
      </c>
      <c r="AO825" t="s">
        <v>68</v>
      </c>
      <c r="AP825">
        <v>0.41899999999999998</v>
      </c>
      <c r="AQ825" t="s">
        <v>69</v>
      </c>
      <c r="AR825">
        <v>32</v>
      </c>
      <c r="AS825">
        <v>2</v>
      </c>
      <c r="AT825">
        <v>2.6720000000000001E-2</v>
      </c>
      <c r="AU825">
        <v>-7.8899999999999994E-3</v>
      </c>
      <c r="AV825">
        <v>0.14285999999999999</v>
      </c>
      <c r="AW825">
        <v>-4.3040000000000002E-2</v>
      </c>
      <c r="AX825">
        <v>2E-3</v>
      </c>
      <c r="AY825">
        <v>-8.1999999999999998E-4</v>
      </c>
      <c r="AZ825">
        <v>1.397E-2</v>
      </c>
      <c r="BA825">
        <v>1</v>
      </c>
      <c r="BB825" t="s">
        <v>70</v>
      </c>
      <c r="BC825">
        <v>-0.36799999999999999</v>
      </c>
      <c r="BD825">
        <v>-0.96099999999999997</v>
      </c>
      <c r="BE825" t="s">
        <v>71</v>
      </c>
    </row>
    <row r="826" spans="1:57">
      <c r="A826">
        <v>3909</v>
      </c>
      <c r="B826" t="s">
        <v>3873</v>
      </c>
      <c r="D826" t="s">
        <v>66</v>
      </c>
      <c r="E826" t="s">
        <v>3874</v>
      </c>
      <c r="F826" t="s">
        <v>3875</v>
      </c>
      <c r="G826">
        <v>311</v>
      </c>
      <c r="H826" t="s">
        <v>63</v>
      </c>
      <c r="I826">
        <v>5</v>
      </c>
      <c r="J826" t="str">
        <f>HYPERLINK("Gene3909-zp_tree_all.dnd", "Gene3909-tree")</f>
        <v>Gene3909-tree</v>
      </c>
      <c r="K826">
        <v>3</v>
      </c>
      <c r="L826">
        <v>2</v>
      </c>
      <c r="M826">
        <v>3</v>
      </c>
      <c r="N826">
        <v>2</v>
      </c>
      <c r="O826">
        <v>0.4</v>
      </c>
      <c r="P826" t="s">
        <v>86</v>
      </c>
      <c r="Q826" t="s">
        <v>124</v>
      </c>
      <c r="R826" t="s">
        <v>66</v>
      </c>
      <c r="S826" t="s">
        <v>66</v>
      </c>
      <c r="T826">
        <v>1</v>
      </c>
      <c r="U826">
        <v>2</v>
      </c>
      <c r="V826">
        <v>4</v>
      </c>
      <c r="W826">
        <v>0.33333000000000002</v>
      </c>
      <c r="X826">
        <v>0</v>
      </c>
      <c r="Y826">
        <v>0</v>
      </c>
      <c r="Z826">
        <v>0</v>
      </c>
      <c r="AA826">
        <v>3</v>
      </c>
      <c r="AB826">
        <v>0</v>
      </c>
      <c r="AC826">
        <v>0</v>
      </c>
      <c r="AD826">
        <v>0</v>
      </c>
      <c r="AE826">
        <v>0</v>
      </c>
      <c r="AF826">
        <v>3</v>
      </c>
      <c r="AG826">
        <v>0</v>
      </c>
      <c r="AH826">
        <v>5</v>
      </c>
      <c r="AI826">
        <v>2</v>
      </c>
      <c r="AJ826">
        <v>40</v>
      </c>
      <c r="AK826">
        <v>3</v>
      </c>
      <c r="AL826">
        <v>18</v>
      </c>
      <c r="AM826">
        <v>3</v>
      </c>
      <c r="AN826" t="s">
        <v>3876</v>
      </c>
      <c r="AO826" t="s">
        <v>3877</v>
      </c>
      <c r="AP826">
        <v>0.85299999999999998</v>
      </c>
      <c r="AQ826" t="s">
        <v>69</v>
      </c>
      <c r="AR826">
        <v>58</v>
      </c>
      <c r="AS826">
        <v>6</v>
      </c>
      <c r="AT826">
        <v>2.9049999999999999E-2</v>
      </c>
      <c r="AU826">
        <v>-3.0000000000000001E-3</v>
      </c>
      <c r="AV826">
        <v>0.11635</v>
      </c>
      <c r="AW826">
        <v>-1.243E-2</v>
      </c>
      <c r="AX826">
        <v>4.2599999999999999E-3</v>
      </c>
      <c r="AY826">
        <v>-6.9999999999999999E-4</v>
      </c>
      <c r="AZ826">
        <v>3.6569999999999998E-2</v>
      </c>
      <c r="BA826">
        <v>1</v>
      </c>
      <c r="BB826" t="s">
        <v>70</v>
      </c>
      <c r="BC826">
        <v>0.49299999999999999</v>
      </c>
      <c r="BD826">
        <v>-0.309</v>
      </c>
      <c r="BE826" t="s">
        <v>71</v>
      </c>
    </row>
    <row r="827" spans="1:57">
      <c r="A827">
        <v>3918</v>
      </c>
      <c r="B827" t="s">
        <v>3896</v>
      </c>
      <c r="D827" t="s">
        <v>66</v>
      </c>
      <c r="E827" t="s">
        <v>3897</v>
      </c>
      <c r="F827" t="s">
        <v>3898</v>
      </c>
      <c r="G827">
        <v>110</v>
      </c>
      <c r="H827" t="s">
        <v>85</v>
      </c>
      <c r="I827">
        <v>4</v>
      </c>
      <c r="J827" t="str">
        <f>HYPERLINK("Gene3918-zp_tree_all.dnd", "Gene3918-tree")</f>
        <v>Gene3918-tree</v>
      </c>
      <c r="K827">
        <v>0</v>
      </c>
      <c r="L827">
        <v>4</v>
      </c>
      <c r="M827">
        <v>0</v>
      </c>
      <c r="N827">
        <v>4</v>
      </c>
      <c r="O827">
        <v>1</v>
      </c>
      <c r="P827" t="s">
        <v>66</v>
      </c>
      <c r="Q827" t="s">
        <v>64</v>
      </c>
      <c r="R827" t="s">
        <v>66</v>
      </c>
      <c r="S827" t="s">
        <v>66</v>
      </c>
      <c r="T827">
        <v>0</v>
      </c>
      <c r="U827">
        <v>0</v>
      </c>
      <c r="V827">
        <v>4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4</v>
      </c>
      <c r="AG827">
        <v>0</v>
      </c>
      <c r="AH827">
        <v>3</v>
      </c>
      <c r="AI827">
        <v>0</v>
      </c>
      <c r="AJ827">
        <v>17</v>
      </c>
      <c r="AK827">
        <v>4</v>
      </c>
      <c r="AL827">
        <v>0</v>
      </c>
      <c r="AM827">
        <v>0</v>
      </c>
      <c r="AN827" t="s">
        <v>3899</v>
      </c>
      <c r="AO827" t="s">
        <v>68</v>
      </c>
      <c r="AP827">
        <v>1.333</v>
      </c>
      <c r="AQ827" t="s">
        <v>69</v>
      </c>
      <c r="AR827">
        <v>17</v>
      </c>
      <c r="AS827">
        <v>4</v>
      </c>
      <c r="AT827">
        <v>3.1820000000000001E-2</v>
      </c>
      <c r="AU827">
        <v>-8.9999999999999993E-3</v>
      </c>
      <c r="AV827">
        <v>0.14682999999999999</v>
      </c>
      <c r="AW827">
        <v>-4.7969999999999999E-2</v>
      </c>
      <c r="AX827">
        <v>7.6699999999999997E-3</v>
      </c>
      <c r="AY827">
        <v>-1.2800000000000001E-3</v>
      </c>
      <c r="AZ827">
        <v>5.2220000000000003E-2</v>
      </c>
      <c r="BA827">
        <v>1</v>
      </c>
      <c r="BB827" t="s">
        <v>70</v>
      </c>
      <c r="BC827">
        <v>-0.85499999999999998</v>
      </c>
      <c r="BD827">
        <v>-0.85499999999999998</v>
      </c>
      <c r="BE827" t="s">
        <v>71</v>
      </c>
    </row>
    <row r="828" spans="1:57">
      <c r="A828">
        <v>3920</v>
      </c>
      <c r="B828" t="s">
        <v>3900</v>
      </c>
      <c r="D828" t="s">
        <v>66</v>
      </c>
      <c r="E828" t="s">
        <v>3901</v>
      </c>
      <c r="F828" t="s">
        <v>3902</v>
      </c>
      <c r="G828">
        <v>102</v>
      </c>
      <c r="H828" t="s">
        <v>63</v>
      </c>
      <c r="I828">
        <v>5</v>
      </c>
      <c r="J828" t="str">
        <f>HYPERLINK("Gene3920-zp_tree_all.dnd", "Gene3920-tree")</f>
        <v>Gene3920-tree</v>
      </c>
      <c r="K828">
        <v>4</v>
      </c>
      <c r="L828">
        <v>1</v>
      </c>
      <c r="M828">
        <v>4</v>
      </c>
      <c r="N828">
        <v>1</v>
      </c>
      <c r="O828">
        <v>0.2</v>
      </c>
      <c r="P828" t="s">
        <v>64</v>
      </c>
      <c r="Q828" t="s">
        <v>65</v>
      </c>
      <c r="R828" t="s">
        <v>66</v>
      </c>
      <c r="S828" t="s">
        <v>66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1</v>
      </c>
      <c r="AG828">
        <v>0</v>
      </c>
      <c r="AH828">
        <v>3</v>
      </c>
      <c r="AI828">
        <v>2</v>
      </c>
      <c r="AJ828">
        <v>13</v>
      </c>
      <c r="AK828">
        <v>1</v>
      </c>
      <c r="AL828">
        <v>7</v>
      </c>
      <c r="AM828">
        <v>0</v>
      </c>
      <c r="AN828" t="s">
        <v>3903</v>
      </c>
      <c r="AO828" t="s">
        <v>68</v>
      </c>
      <c r="AP828">
        <v>0.73899999999999999</v>
      </c>
      <c r="AQ828" t="s">
        <v>69</v>
      </c>
      <c r="AR828">
        <v>20</v>
      </c>
      <c r="AS828">
        <v>1</v>
      </c>
      <c r="AT828">
        <v>3.0720000000000001E-2</v>
      </c>
      <c r="AU828">
        <v>-5.4900000000000001E-3</v>
      </c>
      <c r="AV828">
        <v>0.14380000000000001</v>
      </c>
      <c r="AW828">
        <v>-2.6069999999999999E-2</v>
      </c>
      <c r="AX828">
        <v>1.7099999999999999E-3</v>
      </c>
      <c r="AY828">
        <v>-6.6E-4</v>
      </c>
      <c r="AZ828">
        <v>1.1860000000000001E-2</v>
      </c>
      <c r="BA828">
        <v>1</v>
      </c>
      <c r="BB828" t="s">
        <v>70</v>
      </c>
      <c r="BC828">
        <v>-0.154</v>
      </c>
      <c r="BD828">
        <v>-0.154</v>
      </c>
      <c r="BE828" t="s">
        <v>71</v>
      </c>
    </row>
    <row r="829" spans="1:57">
      <c r="A829">
        <v>3928</v>
      </c>
      <c r="B829" t="s">
        <v>3906</v>
      </c>
      <c r="D829" t="s">
        <v>66</v>
      </c>
      <c r="E829" t="s">
        <v>3907</v>
      </c>
      <c r="F829" t="s">
        <v>3908</v>
      </c>
      <c r="G829">
        <v>62</v>
      </c>
      <c r="H829" t="s">
        <v>106</v>
      </c>
      <c r="I829">
        <v>4</v>
      </c>
      <c r="J829" t="str">
        <f>HYPERLINK("Gene3928-zp_tree_all.dnd", "Gene3928-tree")</f>
        <v>Gene3928-tree</v>
      </c>
      <c r="K829">
        <v>2</v>
      </c>
      <c r="L829">
        <v>2</v>
      </c>
      <c r="M829">
        <v>2</v>
      </c>
      <c r="N829">
        <v>2</v>
      </c>
      <c r="O829">
        <v>0.5</v>
      </c>
      <c r="P829" t="s">
        <v>124</v>
      </c>
      <c r="Q829" t="s">
        <v>124</v>
      </c>
      <c r="R829" t="s">
        <v>66</v>
      </c>
      <c r="S829" t="s">
        <v>66</v>
      </c>
      <c r="T829">
        <v>0</v>
      </c>
      <c r="U829">
        <v>0</v>
      </c>
      <c r="V829">
        <v>2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2</v>
      </c>
      <c r="AG829">
        <v>0</v>
      </c>
      <c r="AH829">
        <v>4</v>
      </c>
      <c r="AI829">
        <v>1</v>
      </c>
      <c r="AJ829">
        <v>6</v>
      </c>
      <c r="AK829">
        <v>2</v>
      </c>
      <c r="AL829">
        <v>3</v>
      </c>
      <c r="AM829">
        <v>0</v>
      </c>
      <c r="AN829" t="s">
        <v>3909</v>
      </c>
      <c r="AO829" t="s">
        <v>68</v>
      </c>
      <c r="AP829">
        <v>0.97599999999999998</v>
      </c>
      <c r="AQ829" t="s">
        <v>69</v>
      </c>
      <c r="AR829">
        <v>9</v>
      </c>
      <c r="AS829">
        <v>2</v>
      </c>
      <c r="AT829">
        <v>2.8670000000000001E-2</v>
      </c>
      <c r="AU829">
        <v>-5.0200000000000002E-3</v>
      </c>
      <c r="AV829">
        <v>0.12063</v>
      </c>
      <c r="AW829">
        <v>-2.5590000000000002E-2</v>
      </c>
      <c r="AX829">
        <v>6.8799999999999998E-3</v>
      </c>
      <c r="AY829">
        <v>-1.6299999999999999E-3</v>
      </c>
      <c r="AZ829">
        <v>5.7000000000000002E-2</v>
      </c>
      <c r="BA829">
        <v>1</v>
      </c>
      <c r="BB829" t="s">
        <v>70</v>
      </c>
      <c r="BC829">
        <v>0.86</v>
      </c>
      <c r="BD829">
        <v>-0.154</v>
      </c>
      <c r="BE829" t="s">
        <v>71</v>
      </c>
    </row>
    <row r="830" spans="1:57">
      <c r="A830">
        <v>3936</v>
      </c>
      <c r="B830" t="s">
        <v>3910</v>
      </c>
      <c r="D830" t="s">
        <v>66</v>
      </c>
      <c r="E830" t="s">
        <v>3911</v>
      </c>
      <c r="F830" t="s">
        <v>3912</v>
      </c>
      <c r="G830">
        <v>338</v>
      </c>
      <c r="H830" t="s">
        <v>63</v>
      </c>
      <c r="I830">
        <v>5</v>
      </c>
      <c r="J830" t="str">
        <f>HYPERLINK("Gene3936-zp_tree_all.dnd", "Gene3936-tree")</f>
        <v>Gene3936-tree</v>
      </c>
      <c r="K830">
        <v>3</v>
      </c>
      <c r="L830">
        <v>2</v>
      </c>
      <c r="M830">
        <v>3</v>
      </c>
      <c r="N830">
        <v>2</v>
      </c>
      <c r="O830">
        <v>0.4</v>
      </c>
      <c r="P830" t="s">
        <v>86</v>
      </c>
      <c r="Q830" t="s">
        <v>124</v>
      </c>
      <c r="R830" t="s">
        <v>66</v>
      </c>
      <c r="S830" t="s">
        <v>66</v>
      </c>
      <c r="T830">
        <v>1</v>
      </c>
      <c r="U830">
        <v>2</v>
      </c>
      <c r="V830">
        <v>4</v>
      </c>
      <c r="W830">
        <v>0.33333000000000002</v>
      </c>
      <c r="X830">
        <v>0</v>
      </c>
      <c r="Y830">
        <v>0</v>
      </c>
      <c r="Z830">
        <v>0</v>
      </c>
      <c r="AA830">
        <v>4</v>
      </c>
      <c r="AB830">
        <v>0</v>
      </c>
      <c r="AC830">
        <v>0</v>
      </c>
      <c r="AD830">
        <v>0</v>
      </c>
      <c r="AE830">
        <v>0</v>
      </c>
      <c r="AF830">
        <v>2</v>
      </c>
      <c r="AG830">
        <v>0</v>
      </c>
      <c r="AH830">
        <v>5</v>
      </c>
      <c r="AI830">
        <v>2</v>
      </c>
      <c r="AJ830">
        <v>32</v>
      </c>
      <c r="AK830">
        <v>2</v>
      </c>
      <c r="AL830">
        <v>31</v>
      </c>
      <c r="AM830">
        <v>4</v>
      </c>
      <c r="AN830" t="s">
        <v>3913</v>
      </c>
      <c r="AO830" t="s">
        <v>3914</v>
      </c>
      <c r="AP830">
        <v>0.69399999999999995</v>
      </c>
      <c r="AQ830" t="s">
        <v>69</v>
      </c>
      <c r="AR830">
        <v>63</v>
      </c>
      <c r="AS830">
        <v>6</v>
      </c>
      <c r="AT830">
        <v>3.1660000000000001E-2</v>
      </c>
      <c r="AU830">
        <v>-4.7400000000000003E-3</v>
      </c>
      <c r="AV830">
        <v>0.1336</v>
      </c>
      <c r="AW830">
        <v>-2.0459999999999999E-2</v>
      </c>
      <c r="AX830">
        <v>3.8999999999999998E-3</v>
      </c>
      <c r="AY830">
        <v>-7.7999999999999999E-4</v>
      </c>
      <c r="AZ830">
        <v>2.921E-2</v>
      </c>
      <c r="BA830">
        <v>1</v>
      </c>
      <c r="BB830" t="s">
        <v>70</v>
      </c>
      <c r="BC830">
        <v>0.72899999999999998</v>
      </c>
      <c r="BD830">
        <v>-0.17599999999999999</v>
      </c>
      <c r="BE830" t="s">
        <v>71</v>
      </c>
    </row>
    <row r="831" spans="1:57">
      <c r="A831">
        <v>3937</v>
      </c>
      <c r="B831" t="s">
        <v>3915</v>
      </c>
      <c r="D831" t="s">
        <v>66</v>
      </c>
      <c r="E831" t="s">
        <v>3916</v>
      </c>
      <c r="F831" t="s">
        <v>3917</v>
      </c>
      <c r="G831">
        <v>468</v>
      </c>
      <c r="H831" t="s">
        <v>85</v>
      </c>
      <c r="I831">
        <v>4</v>
      </c>
      <c r="J831" t="str">
        <f>HYPERLINK("Gene3937-zp_tree_all.dnd", "Gene3937-tree")</f>
        <v>Gene3937-tree</v>
      </c>
      <c r="K831">
        <v>2</v>
      </c>
      <c r="L831">
        <v>2</v>
      </c>
      <c r="M831">
        <v>2</v>
      </c>
      <c r="N831">
        <v>2</v>
      </c>
      <c r="O831">
        <v>0.5</v>
      </c>
      <c r="P831" t="s">
        <v>124</v>
      </c>
      <c r="Q831" t="s">
        <v>124</v>
      </c>
      <c r="R831" t="s">
        <v>66</v>
      </c>
      <c r="S831" t="s">
        <v>66</v>
      </c>
      <c r="T831">
        <v>0</v>
      </c>
      <c r="U831">
        <v>0</v>
      </c>
      <c r="V831">
        <v>6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6</v>
      </c>
      <c r="AG831">
        <v>0</v>
      </c>
      <c r="AH831">
        <v>4</v>
      </c>
      <c r="AI831">
        <v>1</v>
      </c>
      <c r="AJ831">
        <v>83</v>
      </c>
      <c r="AK831">
        <v>7</v>
      </c>
      <c r="AL831">
        <v>7</v>
      </c>
      <c r="AM831">
        <v>0</v>
      </c>
      <c r="AN831" t="s">
        <v>3918</v>
      </c>
      <c r="AO831" t="s">
        <v>68</v>
      </c>
      <c r="AP831">
        <v>0.71699999999999997</v>
      </c>
      <c r="AQ831" t="s">
        <v>69</v>
      </c>
      <c r="AR831">
        <v>90</v>
      </c>
      <c r="AS831">
        <v>7</v>
      </c>
      <c r="AT831">
        <v>3.3950000000000001E-2</v>
      </c>
      <c r="AU831">
        <v>-5.9800000000000001E-3</v>
      </c>
      <c r="AV831">
        <v>0.15978000000000001</v>
      </c>
      <c r="AW831">
        <v>-2.861E-2</v>
      </c>
      <c r="AX831">
        <v>3.2200000000000002E-3</v>
      </c>
      <c r="AY831">
        <v>-1.08E-3</v>
      </c>
      <c r="AZ831">
        <v>2.0140000000000002E-2</v>
      </c>
      <c r="BA831">
        <v>1</v>
      </c>
      <c r="BB831" t="s">
        <v>70</v>
      </c>
      <c r="BC831">
        <v>-0.30299999999999999</v>
      </c>
      <c r="BD831">
        <v>-0.623</v>
      </c>
      <c r="BE831" t="s">
        <v>71</v>
      </c>
    </row>
    <row r="832" spans="1:57">
      <c r="A832">
        <v>3973</v>
      </c>
      <c r="B832" t="s">
        <v>3932</v>
      </c>
      <c r="D832" t="s">
        <v>66</v>
      </c>
      <c r="E832" t="s">
        <v>3933</v>
      </c>
      <c r="F832" t="s">
        <v>74</v>
      </c>
      <c r="G832">
        <v>43</v>
      </c>
      <c r="H832" t="s">
        <v>63</v>
      </c>
      <c r="I832">
        <v>5</v>
      </c>
      <c r="J832" t="str">
        <f>HYPERLINK("Gene3973-zp_tree_all.dnd", "Gene3973-tree")</f>
        <v>Gene3973-tree</v>
      </c>
      <c r="K832">
        <v>0</v>
      </c>
      <c r="L832">
        <v>5</v>
      </c>
      <c r="M832">
        <v>0</v>
      </c>
      <c r="N832">
        <v>5</v>
      </c>
      <c r="O832">
        <v>1</v>
      </c>
      <c r="P832" t="s">
        <v>66</v>
      </c>
      <c r="Q832" t="s">
        <v>96</v>
      </c>
      <c r="R832" t="s">
        <v>66</v>
      </c>
      <c r="S832" t="s">
        <v>66</v>
      </c>
      <c r="T832">
        <v>0</v>
      </c>
      <c r="U832">
        <v>0</v>
      </c>
      <c r="V832">
        <v>7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7</v>
      </c>
      <c r="AG832">
        <v>0</v>
      </c>
      <c r="AH832">
        <v>4</v>
      </c>
      <c r="AI832">
        <v>2</v>
      </c>
      <c r="AJ832">
        <v>3</v>
      </c>
      <c r="AK832">
        <v>5</v>
      </c>
      <c r="AL832">
        <v>1</v>
      </c>
      <c r="AM832">
        <v>2</v>
      </c>
      <c r="AN832" t="s">
        <v>3934</v>
      </c>
      <c r="AO832" t="s">
        <v>3935</v>
      </c>
      <c r="AP832">
        <v>0.2</v>
      </c>
      <c r="AQ832" t="s">
        <v>69</v>
      </c>
      <c r="AR832">
        <v>4</v>
      </c>
      <c r="AS832">
        <v>7</v>
      </c>
      <c r="AT832">
        <v>3.8760000000000003E-2</v>
      </c>
      <c r="AU832">
        <v>-4.5199999999999997E-3</v>
      </c>
      <c r="AV832">
        <v>7.5300000000000006E-2</v>
      </c>
      <c r="AW832">
        <v>-1.4930000000000001E-2</v>
      </c>
      <c r="AX832">
        <v>3.1669999999999997E-2</v>
      </c>
      <c r="AY832">
        <v>-3.0999999999999999E-3</v>
      </c>
      <c r="AZ832">
        <v>0.42058000000000001</v>
      </c>
      <c r="BA832">
        <v>0.85399999999999998</v>
      </c>
      <c r="BB832" t="s">
        <v>188</v>
      </c>
      <c r="BC832">
        <v>-0.38200000000000001</v>
      </c>
      <c r="BD832">
        <v>-0.38200000000000001</v>
      </c>
      <c r="BE832" t="s">
        <v>71</v>
      </c>
    </row>
    <row r="833" spans="1:57">
      <c r="A833">
        <v>3986</v>
      </c>
      <c r="B833" t="s">
        <v>3941</v>
      </c>
      <c r="D833" t="s">
        <v>66</v>
      </c>
      <c r="E833" t="s">
        <v>3942</v>
      </c>
      <c r="F833" t="s">
        <v>3943</v>
      </c>
      <c r="G833">
        <v>469</v>
      </c>
      <c r="H833" t="s">
        <v>85</v>
      </c>
      <c r="I833">
        <v>4</v>
      </c>
      <c r="J833" t="str">
        <f>HYPERLINK("Gene3986-zp_tree_all.dnd", "Gene3986-tree")</f>
        <v>Gene3986-tree</v>
      </c>
      <c r="K833">
        <v>1</v>
      </c>
      <c r="L833">
        <v>3</v>
      </c>
      <c r="M833">
        <v>1</v>
      </c>
      <c r="N833">
        <v>3</v>
      </c>
      <c r="O833">
        <v>0.75</v>
      </c>
      <c r="P833" t="s">
        <v>65</v>
      </c>
      <c r="Q833" t="s">
        <v>86</v>
      </c>
      <c r="R833" t="s">
        <v>66</v>
      </c>
      <c r="S833" t="s">
        <v>66</v>
      </c>
      <c r="T833">
        <v>0</v>
      </c>
      <c r="U833">
        <v>0</v>
      </c>
      <c r="V833">
        <v>11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11</v>
      </c>
      <c r="AG833">
        <v>0</v>
      </c>
      <c r="AH833">
        <v>4</v>
      </c>
      <c r="AI833">
        <v>1</v>
      </c>
      <c r="AJ833">
        <v>48</v>
      </c>
      <c r="AK833">
        <v>9</v>
      </c>
      <c r="AL833">
        <v>17</v>
      </c>
      <c r="AM833">
        <v>3</v>
      </c>
      <c r="AN833" t="s">
        <v>3944</v>
      </c>
      <c r="AO833" t="s">
        <v>3945</v>
      </c>
      <c r="AP833">
        <v>9.8000000000000004E-2</v>
      </c>
      <c r="AQ833" t="s">
        <v>69</v>
      </c>
      <c r="AR833">
        <v>65</v>
      </c>
      <c r="AS833">
        <v>12</v>
      </c>
      <c r="AT833">
        <v>2.9319999999999999E-2</v>
      </c>
      <c r="AU833">
        <v>-4.2199999999999998E-3</v>
      </c>
      <c r="AV833">
        <v>0.12058000000000001</v>
      </c>
      <c r="AW833">
        <v>-1.7919999999999998E-2</v>
      </c>
      <c r="AX833">
        <v>5.9899999999999997E-3</v>
      </c>
      <c r="AY833">
        <v>-9.3999999999999997E-4</v>
      </c>
      <c r="AZ833">
        <v>4.9700000000000001E-2</v>
      </c>
      <c r="BA833">
        <v>1</v>
      </c>
      <c r="BB833" t="s">
        <v>70</v>
      </c>
      <c r="BC833">
        <v>6.6000000000000003E-2</v>
      </c>
      <c r="BD833">
        <v>-6.2E-2</v>
      </c>
      <c r="BE833" t="s">
        <v>71</v>
      </c>
    </row>
    <row r="834" spans="1:57">
      <c r="A834">
        <v>3992</v>
      </c>
      <c r="B834" t="s">
        <v>3948</v>
      </c>
      <c r="D834" t="s">
        <v>66</v>
      </c>
      <c r="E834" t="s">
        <v>3949</v>
      </c>
      <c r="F834" t="s">
        <v>74</v>
      </c>
      <c r="G834">
        <v>121</v>
      </c>
      <c r="H834" t="s">
        <v>106</v>
      </c>
      <c r="I834">
        <v>4</v>
      </c>
      <c r="J834" t="str">
        <f>HYPERLINK("Gene3992-zp_tree_all.dnd", "Gene3992-tree")</f>
        <v>Gene3992-tree</v>
      </c>
      <c r="K834">
        <v>1</v>
      </c>
      <c r="L834">
        <v>3</v>
      </c>
      <c r="M834">
        <v>1</v>
      </c>
      <c r="N834">
        <v>3</v>
      </c>
      <c r="O834">
        <v>0.75</v>
      </c>
      <c r="P834" t="s">
        <v>65</v>
      </c>
      <c r="Q834" t="s">
        <v>86</v>
      </c>
      <c r="R834" t="s">
        <v>66</v>
      </c>
      <c r="S834" t="s">
        <v>66</v>
      </c>
      <c r="T834">
        <v>0</v>
      </c>
      <c r="U834">
        <v>0</v>
      </c>
      <c r="V834">
        <v>3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3</v>
      </c>
      <c r="AG834">
        <v>0</v>
      </c>
      <c r="AH834">
        <v>3</v>
      </c>
      <c r="AI834">
        <v>1</v>
      </c>
      <c r="AJ834">
        <v>4</v>
      </c>
      <c r="AK834">
        <v>2</v>
      </c>
      <c r="AL834">
        <v>2</v>
      </c>
      <c r="AM834">
        <v>1</v>
      </c>
      <c r="AN834" t="s">
        <v>3950</v>
      </c>
      <c r="AO834" t="s">
        <v>3951</v>
      </c>
      <c r="AP834">
        <v>6.0000000000000001E-3</v>
      </c>
      <c r="AQ834" t="s">
        <v>69</v>
      </c>
      <c r="AR834">
        <v>6</v>
      </c>
      <c r="AS834">
        <v>3</v>
      </c>
      <c r="AT834">
        <v>1.3769999999999999E-2</v>
      </c>
      <c r="AU834">
        <v>-2.5100000000000001E-3</v>
      </c>
      <c r="AV834">
        <v>5.0909999999999997E-2</v>
      </c>
      <c r="AW834">
        <v>-1.093E-2</v>
      </c>
      <c r="AX834">
        <v>5.6800000000000002E-3</v>
      </c>
      <c r="AY834">
        <v>-1.0399999999999999E-3</v>
      </c>
      <c r="AZ834">
        <v>0.1116</v>
      </c>
      <c r="BA834">
        <v>1</v>
      </c>
      <c r="BB834" t="s">
        <v>70</v>
      </c>
      <c r="BC834">
        <v>0.184</v>
      </c>
      <c r="BD834">
        <v>0.184</v>
      </c>
      <c r="BE834" t="s">
        <v>71</v>
      </c>
    </row>
    <row r="835" spans="1:57">
      <c r="A835">
        <v>4009</v>
      </c>
      <c r="B835" t="s">
        <v>3960</v>
      </c>
      <c r="D835" t="s">
        <v>66</v>
      </c>
      <c r="E835" t="s">
        <v>3961</v>
      </c>
      <c r="F835" t="s">
        <v>3962</v>
      </c>
      <c r="G835">
        <v>249</v>
      </c>
      <c r="H835" t="s">
        <v>63</v>
      </c>
      <c r="I835">
        <v>5</v>
      </c>
      <c r="J835" t="str">
        <f>HYPERLINK("Gene4009-zp_tree_all.dnd", "Gene4009-tree")</f>
        <v>Gene4009-tree</v>
      </c>
      <c r="K835">
        <v>1</v>
      </c>
      <c r="L835">
        <v>4</v>
      </c>
      <c r="M835">
        <v>1</v>
      </c>
      <c r="N835">
        <v>4</v>
      </c>
      <c r="O835">
        <v>0.8</v>
      </c>
      <c r="P835" t="s">
        <v>65</v>
      </c>
      <c r="Q835" t="s">
        <v>64</v>
      </c>
      <c r="R835" t="s">
        <v>66</v>
      </c>
      <c r="S835" t="s">
        <v>66</v>
      </c>
      <c r="T835">
        <v>0</v>
      </c>
      <c r="U835">
        <v>0</v>
      </c>
      <c r="V835">
        <v>7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7</v>
      </c>
      <c r="AG835">
        <v>0</v>
      </c>
      <c r="AH835">
        <v>5</v>
      </c>
      <c r="AI835">
        <v>2</v>
      </c>
      <c r="AJ835">
        <v>32</v>
      </c>
      <c r="AK835">
        <v>4</v>
      </c>
      <c r="AL835">
        <v>15</v>
      </c>
      <c r="AM835">
        <v>3</v>
      </c>
      <c r="AN835" t="s">
        <v>3963</v>
      </c>
      <c r="AO835" t="s">
        <v>3964</v>
      </c>
      <c r="AP835">
        <v>0.377</v>
      </c>
      <c r="AQ835" t="s">
        <v>69</v>
      </c>
      <c r="AR835">
        <v>47</v>
      </c>
      <c r="AS835">
        <v>7</v>
      </c>
      <c r="AT835">
        <v>3.2800000000000003E-2</v>
      </c>
      <c r="AU835">
        <v>-4.3499999999999997E-3</v>
      </c>
      <c r="AV835">
        <v>0.13544</v>
      </c>
      <c r="AW835">
        <v>-1.873E-2</v>
      </c>
      <c r="AX835">
        <v>5.9500000000000004E-3</v>
      </c>
      <c r="AY835">
        <v>-8.9999999999999998E-4</v>
      </c>
      <c r="AZ835">
        <v>4.3950000000000003E-2</v>
      </c>
      <c r="BA835">
        <v>1</v>
      </c>
      <c r="BB835" t="s">
        <v>70</v>
      </c>
      <c r="BC835">
        <v>-0.13900000000000001</v>
      </c>
      <c r="BD835">
        <v>-0.28999999999999998</v>
      </c>
      <c r="BE835" t="s">
        <v>71</v>
      </c>
    </row>
    <row r="836" spans="1:57">
      <c r="A836">
        <v>4010</v>
      </c>
      <c r="B836" t="s">
        <v>3965</v>
      </c>
      <c r="D836" t="s">
        <v>66</v>
      </c>
      <c r="E836" t="s">
        <v>3966</v>
      </c>
      <c r="F836" t="s">
        <v>3967</v>
      </c>
      <c r="G836">
        <v>224</v>
      </c>
      <c r="H836" t="s">
        <v>63</v>
      </c>
      <c r="I836">
        <v>5</v>
      </c>
      <c r="J836" t="str">
        <f>HYPERLINK("Gene4010-zp_tree_all.dnd", "Gene4010-tree")</f>
        <v>Gene4010-tree</v>
      </c>
      <c r="K836">
        <v>2</v>
      </c>
      <c r="L836">
        <v>3</v>
      </c>
      <c r="M836">
        <v>2</v>
      </c>
      <c r="N836">
        <v>3</v>
      </c>
      <c r="O836">
        <v>0.6</v>
      </c>
      <c r="P836" t="s">
        <v>124</v>
      </c>
      <c r="Q836" t="s">
        <v>86</v>
      </c>
      <c r="R836" t="s">
        <v>66</v>
      </c>
      <c r="S836" t="s">
        <v>66</v>
      </c>
      <c r="T836">
        <v>0</v>
      </c>
      <c r="U836">
        <v>0</v>
      </c>
      <c r="V836">
        <v>6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6</v>
      </c>
      <c r="AG836">
        <v>0</v>
      </c>
      <c r="AH836">
        <v>5</v>
      </c>
      <c r="AI836">
        <v>2</v>
      </c>
      <c r="AJ836">
        <v>40</v>
      </c>
      <c r="AK836">
        <v>4</v>
      </c>
      <c r="AL836">
        <v>15</v>
      </c>
      <c r="AM836">
        <v>2</v>
      </c>
      <c r="AN836" t="s">
        <v>3968</v>
      </c>
      <c r="AO836" t="s">
        <v>3969</v>
      </c>
      <c r="AP836">
        <v>0.23899999999999999</v>
      </c>
      <c r="AQ836" t="s">
        <v>69</v>
      </c>
      <c r="AR836">
        <v>55</v>
      </c>
      <c r="AS836">
        <v>6</v>
      </c>
      <c r="AT836">
        <v>3.9879999999999999E-2</v>
      </c>
      <c r="AU836">
        <v>-3.9199999999999999E-3</v>
      </c>
      <c r="AV836">
        <v>0.16633999999999999</v>
      </c>
      <c r="AW836">
        <v>-1.6799999999999999E-2</v>
      </c>
      <c r="AX836">
        <v>5.5199999999999997E-3</v>
      </c>
      <c r="AY836">
        <v>-9.6000000000000002E-4</v>
      </c>
      <c r="AZ836">
        <v>3.32E-2</v>
      </c>
      <c r="BA836">
        <v>1</v>
      </c>
      <c r="BB836" t="s">
        <v>70</v>
      </c>
      <c r="BC836">
        <v>-2.1999999999999999E-2</v>
      </c>
      <c r="BD836">
        <v>-0.30399999999999999</v>
      </c>
      <c r="BE836" t="s">
        <v>71</v>
      </c>
    </row>
    <row r="837" spans="1:57">
      <c r="A837">
        <v>4021</v>
      </c>
      <c r="B837" t="s">
        <v>3980</v>
      </c>
      <c r="D837" t="s">
        <v>66</v>
      </c>
      <c r="E837" t="s">
        <v>3981</v>
      </c>
      <c r="F837" t="s">
        <v>74</v>
      </c>
      <c r="G837">
        <v>132</v>
      </c>
      <c r="H837" t="s">
        <v>63</v>
      </c>
      <c r="I837">
        <v>5</v>
      </c>
      <c r="J837" t="str">
        <f>HYPERLINK("Gene4021-zp_tree_all.dnd", "Gene4021-tree")</f>
        <v>Gene4021-tree</v>
      </c>
      <c r="K837">
        <v>4</v>
      </c>
      <c r="L837">
        <v>1</v>
      </c>
      <c r="M837">
        <v>4</v>
      </c>
      <c r="N837">
        <v>1</v>
      </c>
      <c r="O837">
        <v>0.2</v>
      </c>
      <c r="P837" t="s">
        <v>64</v>
      </c>
      <c r="Q837" t="s">
        <v>65</v>
      </c>
      <c r="R837" t="s">
        <v>66</v>
      </c>
      <c r="S837" t="s">
        <v>66</v>
      </c>
      <c r="T837">
        <v>0</v>
      </c>
      <c r="U837">
        <v>0</v>
      </c>
      <c r="V837">
        <v>2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2</v>
      </c>
      <c r="AG837">
        <v>0</v>
      </c>
      <c r="AH837">
        <v>5</v>
      </c>
      <c r="AI837">
        <v>1</v>
      </c>
      <c r="AJ837">
        <v>14</v>
      </c>
      <c r="AK837">
        <v>2</v>
      </c>
      <c r="AL837">
        <v>3</v>
      </c>
      <c r="AM837">
        <v>0</v>
      </c>
      <c r="AN837" t="s">
        <v>3982</v>
      </c>
      <c r="AO837" t="s">
        <v>68</v>
      </c>
      <c r="AP837">
        <v>0.42</v>
      </c>
      <c r="AQ837" t="s">
        <v>69</v>
      </c>
      <c r="AR837">
        <v>17</v>
      </c>
      <c r="AS837">
        <v>2</v>
      </c>
      <c r="AT837">
        <v>2.0199999999999999E-2</v>
      </c>
      <c r="AU837">
        <v>-4.13E-3</v>
      </c>
      <c r="AV837">
        <v>9.3310000000000004E-2</v>
      </c>
      <c r="AW837">
        <v>-1.8249999999999999E-2</v>
      </c>
      <c r="AX837">
        <v>2.5699999999999998E-3</v>
      </c>
      <c r="AY837">
        <v>-1E-3</v>
      </c>
      <c r="AZ837">
        <v>2.759E-2</v>
      </c>
      <c r="BA837">
        <v>1</v>
      </c>
      <c r="BB837" t="s">
        <v>70</v>
      </c>
      <c r="BC837">
        <v>-0.54600000000000004</v>
      </c>
      <c r="BD837">
        <v>-0.54600000000000004</v>
      </c>
      <c r="BE837" t="s">
        <v>71</v>
      </c>
    </row>
    <row r="838" spans="1:57">
      <c r="A838">
        <v>4025</v>
      </c>
      <c r="B838" t="s">
        <v>3995</v>
      </c>
      <c r="D838" t="s">
        <v>66</v>
      </c>
      <c r="E838" t="s">
        <v>3996</v>
      </c>
      <c r="F838" t="s">
        <v>560</v>
      </c>
      <c r="G838">
        <v>257</v>
      </c>
      <c r="H838" t="s">
        <v>85</v>
      </c>
      <c r="I838">
        <v>4</v>
      </c>
      <c r="J838" t="str">
        <f>HYPERLINK("Gene4025-zp_tree_all.dnd", "Gene4025-tree")</f>
        <v>Gene4025-tree</v>
      </c>
      <c r="K838">
        <v>2</v>
      </c>
      <c r="L838">
        <v>2</v>
      </c>
      <c r="M838">
        <v>2</v>
      </c>
      <c r="N838">
        <v>2</v>
      </c>
      <c r="O838">
        <v>0.5</v>
      </c>
      <c r="P838" t="s">
        <v>124</v>
      </c>
      <c r="Q838" t="s">
        <v>124</v>
      </c>
      <c r="R838" t="s">
        <v>66</v>
      </c>
      <c r="S838" t="s">
        <v>66</v>
      </c>
      <c r="T838">
        <v>0</v>
      </c>
      <c r="U838">
        <v>0</v>
      </c>
      <c r="V838">
        <v>7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7</v>
      </c>
      <c r="AG838">
        <v>0</v>
      </c>
      <c r="AH838">
        <v>4</v>
      </c>
      <c r="AI838">
        <v>1</v>
      </c>
      <c r="AJ838">
        <v>24</v>
      </c>
      <c r="AK838">
        <v>2</v>
      </c>
      <c r="AL838">
        <v>7</v>
      </c>
      <c r="AM838">
        <v>5</v>
      </c>
      <c r="AN838" t="s">
        <v>3997</v>
      </c>
      <c r="AO838" t="s">
        <v>3998</v>
      </c>
      <c r="AP838">
        <v>13.005000000000001</v>
      </c>
      <c r="AQ838" t="s">
        <v>69</v>
      </c>
      <c r="AR838">
        <v>31</v>
      </c>
      <c r="AS838">
        <v>7</v>
      </c>
      <c r="AT838">
        <v>2.5510000000000001E-2</v>
      </c>
      <c r="AU838">
        <v>-2.9299999999999999E-3</v>
      </c>
      <c r="AV838">
        <v>8.9990000000000001E-2</v>
      </c>
      <c r="AW838">
        <v>-8.1799999999999998E-3</v>
      </c>
      <c r="AX838">
        <v>7.4000000000000003E-3</v>
      </c>
      <c r="AY838">
        <v>-1.6900000000000001E-3</v>
      </c>
      <c r="AZ838">
        <v>8.2189999999999999E-2</v>
      </c>
      <c r="BA838">
        <v>1</v>
      </c>
      <c r="BB838" t="s">
        <v>70</v>
      </c>
      <c r="BC838">
        <v>0.626</v>
      </c>
      <c r="BD838">
        <v>0.626</v>
      </c>
      <c r="BE838" t="s">
        <v>71</v>
      </c>
    </row>
    <row r="839" spans="1:57">
      <c r="A839">
        <v>4026</v>
      </c>
      <c r="B839" t="s">
        <v>3999</v>
      </c>
      <c r="D839" t="s">
        <v>66</v>
      </c>
      <c r="E839" t="s">
        <v>4000</v>
      </c>
      <c r="F839" t="s">
        <v>4001</v>
      </c>
      <c r="G839">
        <v>325</v>
      </c>
      <c r="H839" t="s">
        <v>85</v>
      </c>
      <c r="I839">
        <v>4</v>
      </c>
      <c r="J839" t="str">
        <f>HYPERLINK("Gene4026-zp_tree_all.dnd", "Gene4026-tree")</f>
        <v>Gene4026-tree</v>
      </c>
      <c r="K839">
        <v>0</v>
      </c>
      <c r="L839">
        <v>4</v>
      </c>
      <c r="M839">
        <v>0</v>
      </c>
      <c r="N839">
        <v>4</v>
      </c>
      <c r="O839">
        <v>1</v>
      </c>
      <c r="P839" t="s">
        <v>66</v>
      </c>
      <c r="Q839" t="s">
        <v>64</v>
      </c>
      <c r="R839" t="s">
        <v>66</v>
      </c>
      <c r="S839" t="s">
        <v>66</v>
      </c>
      <c r="T839">
        <v>0</v>
      </c>
      <c r="U839">
        <v>0</v>
      </c>
      <c r="V839">
        <v>11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11</v>
      </c>
      <c r="AG839">
        <v>0</v>
      </c>
      <c r="AH839">
        <v>4</v>
      </c>
      <c r="AI839">
        <v>1</v>
      </c>
      <c r="AJ839">
        <v>25</v>
      </c>
      <c r="AK839">
        <v>10</v>
      </c>
      <c r="AL839">
        <v>2</v>
      </c>
      <c r="AM839">
        <v>1</v>
      </c>
      <c r="AN839" t="s">
        <v>4002</v>
      </c>
      <c r="AO839" t="s">
        <v>4003</v>
      </c>
      <c r="AP839">
        <v>0.47299999999999998</v>
      </c>
      <c r="AQ839" t="s">
        <v>69</v>
      </c>
      <c r="AR839">
        <v>27</v>
      </c>
      <c r="AS839">
        <v>11</v>
      </c>
      <c r="AT839">
        <v>0.02</v>
      </c>
      <c r="AU839">
        <v>-2.99E-3</v>
      </c>
      <c r="AV839">
        <v>6.3479999999999995E-2</v>
      </c>
      <c r="AW839">
        <v>-9.7000000000000003E-3</v>
      </c>
      <c r="AX839">
        <v>7.6400000000000001E-3</v>
      </c>
      <c r="AY839">
        <v>-1.34E-3</v>
      </c>
      <c r="AZ839">
        <v>0.12032</v>
      </c>
      <c r="BA839">
        <v>1</v>
      </c>
      <c r="BB839" t="s">
        <v>70</v>
      </c>
      <c r="BC839">
        <v>-0.61399999999999999</v>
      </c>
      <c r="BD839">
        <v>-0.61399999999999999</v>
      </c>
      <c r="BE839" t="s">
        <v>71</v>
      </c>
    </row>
    <row r="840" spans="1:57">
      <c r="A840">
        <v>4027</v>
      </c>
      <c r="B840" t="s">
        <v>4004</v>
      </c>
      <c r="D840" t="s">
        <v>66</v>
      </c>
      <c r="E840" t="s">
        <v>4005</v>
      </c>
      <c r="F840" t="s">
        <v>645</v>
      </c>
      <c r="G840">
        <v>229</v>
      </c>
      <c r="H840" t="s">
        <v>85</v>
      </c>
      <c r="I840">
        <v>4</v>
      </c>
      <c r="J840" t="str">
        <f>HYPERLINK("Gene4027-zp_tree_all.dnd", "Gene4027-tree")</f>
        <v>Gene4027-tree</v>
      </c>
      <c r="K840">
        <v>3</v>
      </c>
      <c r="L840">
        <v>1</v>
      </c>
      <c r="M840">
        <v>3</v>
      </c>
      <c r="N840">
        <v>1</v>
      </c>
      <c r="O840">
        <v>0.25</v>
      </c>
      <c r="P840" t="s">
        <v>86</v>
      </c>
      <c r="Q840" t="s">
        <v>65</v>
      </c>
      <c r="R840" t="s">
        <v>66</v>
      </c>
      <c r="S840" t="s">
        <v>66</v>
      </c>
      <c r="T840">
        <v>0</v>
      </c>
      <c r="U840">
        <v>0</v>
      </c>
      <c r="V840">
        <v>5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5</v>
      </c>
      <c r="AG840">
        <v>0</v>
      </c>
      <c r="AH840">
        <v>3</v>
      </c>
      <c r="AI840">
        <v>1</v>
      </c>
      <c r="AJ840">
        <v>23</v>
      </c>
      <c r="AK840">
        <v>5</v>
      </c>
      <c r="AL840">
        <v>1</v>
      </c>
      <c r="AM840">
        <v>0</v>
      </c>
      <c r="AN840" t="s">
        <v>4006</v>
      </c>
      <c r="AO840" t="s">
        <v>68</v>
      </c>
      <c r="AP840">
        <v>0.48799999999999999</v>
      </c>
      <c r="AQ840" t="s">
        <v>69</v>
      </c>
      <c r="AR840">
        <v>24</v>
      </c>
      <c r="AS840">
        <v>5</v>
      </c>
      <c r="AT840">
        <v>2.1350000000000001E-2</v>
      </c>
      <c r="AU840">
        <v>-7.5399999999999998E-3</v>
      </c>
      <c r="AV840">
        <v>8.5400000000000004E-2</v>
      </c>
      <c r="AW840">
        <v>-2.9669999999999998E-2</v>
      </c>
      <c r="AX840">
        <v>4.7499999999999999E-3</v>
      </c>
      <c r="AY840">
        <v>-1.9400000000000001E-3</v>
      </c>
      <c r="AZ840">
        <v>5.5559999999999998E-2</v>
      </c>
      <c r="BA840">
        <v>1</v>
      </c>
      <c r="BB840" t="s">
        <v>70</v>
      </c>
      <c r="BC840">
        <v>-0.752</v>
      </c>
      <c r="BD840">
        <v>-0.752</v>
      </c>
      <c r="BE840" t="s">
        <v>71</v>
      </c>
    </row>
    <row r="841" spans="1:57">
      <c r="A841">
        <v>4028</v>
      </c>
      <c r="B841" t="s">
        <v>4007</v>
      </c>
      <c r="D841" t="s">
        <v>66</v>
      </c>
      <c r="E841" t="s">
        <v>4008</v>
      </c>
      <c r="F841" t="s">
        <v>4009</v>
      </c>
      <c r="G841">
        <v>290</v>
      </c>
      <c r="H841" t="s">
        <v>63</v>
      </c>
      <c r="I841">
        <v>5</v>
      </c>
      <c r="J841" t="str">
        <f>HYPERLINK("Gene4028-zp_tree_all.dnd", "Gene4028-tree")</f>
        <v>Gene4028-tree</v>
      </c>
      <c r="K841">
        <v>4</v>
      </c>
      <c r="L841">
        <v>1</v>
      </c>
      <c r="M841">
        <v>4</v>
      </c>
      <c r="N841">
        <v>1</v>
      </c>
      <c r="O841">
        <v>0.2</v>
      </c>
      <c r="P841" t="s">
        <v>64</v>
      </c>
      <c r="Q841" t="s">
        <v>65</v>
      </c>
      <c r="R841" t="s">
        <v>66</v>
      </c>
      <c r="S841" t="s">
        <v>66</v>
      </c>
      <c r="T841">
        <v>1</v>
      </c>
      <c r="U841">
        <v>2</v>
      </c>
      <c r="V841">
        <v>9</v>
      </c>
      <c r="W841">
        <v>0.18182000000000001</v>
      </c>
      <c r="X841">
        <v>0</v>
      </c>
      <c r="Y841">
        <v>0</v>
      </c>
      <c r="Z841">
        <v>0</v>
      </c>
      <c r="AA841">
        <v>4</v>
      </c>
      <c r="AB841">
        <v>0</v>
      </c>
      <c r="AC841">
        <v>0</v>
      </c>
      <c r="AD841">
        <v>0</v>
      </c>
      <c r="AE841">
        <v>0</v>
      </c>
      <c r="AF841">
        <v>7</v>
      </c>
      <c r="AG841">
        <v>0</v>
      </c>
      <c r="AH841">
        <v>4</v>
      </c>
      <c r="AI841">
        <v>2</v>
      </c>
      <c r="AJ841">
        <v>19</v>
      </c>
      <c r="AK841">
        <v>8</v>
      </c>
      <c r="AL841">
        <v>14</v>
      </c>
      <c r="AM841">
        <v>4</v>
      </c>
      <c r="AN841" t="s">
        <v>4010</v>
      </c>
      <c r="AO841" t="s">
        <v>4011</v>
      </c>
      <c r="AP841">
        <v>0.17799999999999999</v>
      </c>
      <c r="AQ841" t="s">
        <v>69</v>
      </c>
      <c r="AR841">
        <v>33</v>
      </c>
      <c r="AS841">
        <v>12</v>
      </c>
      <c r="AT841">
        <v>2.4830000000000001E-2</v>
      </c>
      <c r="AU841">
        <v>-4.1999999999999997E-3</v>
      </c>
      <c r="AV841">
        <v>8.7499999999999994E-2</v>
      </c>
      <c r="AW841">
        <v>-1.3690000000000001E-2</v>
      </c>
      <c r="AX841">
        <v>7.9799999999999992E-3</v>
      </c>
      <c r="AY841">
        <v>-1.9599999999999999E-3</v>
      </c>
      <c r="AZ841">
        <v>9.1189999999999993E-2</v>
      </c>
      <c r="BA841">
        <v>1</v>
      </c>
      <c r="BB841" t="s">
        <v>70</v>
      </c>
      <c r="BC841">
        <v>0</v>
      </c>
      <c r="BD841">
        <v>0</v>
      </c>
      <c r="BE841" t="s">
        <v>71</v>
      </c>
    </row>
    <row r="842" spans="1:57">
      <c r="A842">
        <v>4030</v>
      </c>
      <c r="B842" t="s">
        <v>4017</v>
      </c>
      <c r="D842" t="s">
        <v>66</v>
      </c>
      <c r="E842" t="s">
        <v>4018</v>
      </c>
      <c r="F842" t="s">
        <v>4019</v>
      </c>
      <c r="G842">
        <v>289</v>
      </c>
      <c r="H842" t="s">
        <v>63</v>
      </c>
      <c r="I842">
        <v>5</v>
      </c>
      <c r="J842" t="str">
        <f>HYPERLINK("Gene4030-zp_tree_all.dnd", "Gene4030-tree")</f>
        <v>Gene4030-tree</v>
      </c>
      <c r="K842">
        <v>2</v>
      </c>
      <c r="L842">
        <v>3</v>
      </c>
      <c r="M842">
        <v>2</v>
      </c>
      <c r="N842">
        <v>3</v>
      </c>
      <c r="O842">
        <v>0.6</v>
      </c>
      <c r="P842" t="s">
        <v>124</v>
      </c>
      <c r="Q842" t="s">
        <v>86</v>
      </c>
      <c r="R842" t="s">
        <v>66</v>
      </c>
      <c r="S842" t="s">
        <v>66</v>
      </c>
      <c r="T842">
        <v>0</v>
      </c>
      <c r="U842">
        <v>0</v>
      </c>
      <c r="V842">
        <v>4</v>
      </c>
      <c r="W842">
        <v>0</v>
      </c>
      <c r="X842">
        <v>0</v>
      </c>
      <c r="Y842">
        <v>0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0</v>
      </c>
      <c r="AF842">
        <v>3</v>
      </c>
      <c r="AG842">
        <v>0</v>
      </c>
      <c r="AH842">
        <v>5</v>
      </c>
      <c r="AI842">
        <v>2</v>
      </c>
      <c r="AJ842">
        <v>60</v>
      </c>
      <c r="AK842">
        <v>3</v>
      </c>
      <c r="AL842">
        <v>20</v>
      </c>
      <c r="AM842">
        <v>1</v>
      </c>
      <c r="AN842" t="s">
        <v>4020</v>
      </c>
      <c r="AO842" t="s">
        <v>4021</v>
      </c>
      <c r="AP842">
        <v>1.4E-2</v>
      </c>
      <c r="AQ842" t="s">
        <v>69</v>
      </c>
      <c r="AR842">
        <v>80</v>
      </c>
      <c r="AS842">
        <v>4</v>
      </c>
      <c r="AT842">
        <v>4.002E-2</v>
      </c>
      <c r="AU842">
        <v>-3.5400000000000002E-3</v>
      </c>
      <c r="AV842">
        <v>0.20083999999999999</v>
      </c>
      <c r="AW842">
        <v>-1.975E-2</v>
      </c>
      <c r="AX842">
        <v>3.2399999999999998E-3</v>
      </c>
      <c r="AY842">
        <v>-5.0000000000000001E-4</v>
      </c>
      <c r="AZ842">
        <v>1.6140000000000002E-2</v>
      </c>
      <c r="BA842">
        <v>1</v>
      </c>
      <c r="BB842" t="s">
        <v>70</v>
      </c>
      <c r="BC842">
        <v>0.13800000000000001</v>
      </c>
      <c r="BD842">
        <v>-0.374</v>
      </c>
      <c r="BE842" t="s">
        <v>71</v>
      </c>
    </row>
    <row r="843" spans="1:57">
      <c r="A843">
        <v>4035</v>
      </c>
      <c r="B843" t="s">
        <v>4022</v>
      </c>
      <c r="D843" t="s">
        <v>66</v>
      </c>
      <c r="E843" t="s">
        <v>4023</v>
      </c>
      <c r="F843" t="s">
        <v>4024</v>
      </c>
      <c r="G843">
        <v>325</v>
      </c>
      <c r="H843" t="s">
        <v>63</v>
      </c>
      <c r="I843">
        <v>5</v>
      </c>
      <c r="J843" t="str">
        <f>HYPERLINK("Gene4035-zp_tree_all.dnd", "Gene4035-tree")</f>
        <v>Gene4035-tree</v>
      </c>
      <c r="K843">
        <v>0</v>
      </c>
      <c r="L843">
        <v>5</v>
      </c>
      <c r="M843">
        <v>0</v>
      </c>
      <c r="N843">
        <v>5</v>
      </c>
      <c r="O843">
        <v>1</v>
      </c>
      <c r="P843" t="s">
        <v>66</v>
      </c>
      <c r="Q843" t="s">
        <v>96</v>
      </c>
      <c r="R843" t="s">
        <v>66</v>
      </c>
      <c r="S843" t="s">
        <v>66</v>
      </c>
      <c r="T843">
        <v>0</v>
      </c>
      <c r="U843">
        <v>0</v>
      </c>
      <c r="V843">
        <v>12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12</v>
      </c>
      <c r="AG843">
        <v>0</v>
      </c>
      <c r="AH843">
        <v>5</v>
      </c>
      <c r="AI843">
        <v>2</v>
      </c>
      <c r="AJ843">
        <v>49</v>
      </c>
      <c r="AK843">
        <v>8</v>
      </c>
      <c r="AL843">
        <v>15</v>
      </c>
      <c r="AM843">
        <v>4</v>
      </c>
      <c r="AN843" t="s">
        <v>4025</v>
      </c>
      <c r="AO843" t="s">
        <v>4026</v>
      </c>
      <c r="AP843">
        <v>1.0840000000000001</v>
      </c>
      <c r="AQ843" t="s">
        <v>69</v>
      </c>
      <c r="AR843">
        <v>64</v>
      </c>
      <c r="AS843">
        <v>12</v>
      </c>
      <c r="AT843">
        <v>3.3950000000000001E-2</v>
      </c>
      <c r="AU843">
        <v>-3.3999999999999998E-3</v>
      </c>
      <c r="AV843">
        <v>0.13274</v>
      </c>
      <c r="AW843">
        <v>-1.438E-2</v>
      </c>
      <c r="AX843">
        <v>7.5399999999999998E-3</v>
      </c>
      <c r="AY843">
        <v>-8.9999999999999998E-4</v>
      </c>
      <c r="AZ843">
        <v>5.6820000000000002E-2</v>
      </c>
      <c r="BA843">
        <v>1</v>
      </c>
      <c r="BB843" t="s">
        <v>70</v>
      </c>
      <c r="BC843">
        <v>-0.32</v>
      </c>
      <c r="BD843">
        <v>-0.64900000000000002</v>
      </c>
      <c r="BE843" t="s">
        <v>71</v>
      </c>
    </row>
    <row r="844" spans="1:57">
      <c r="A844">
        <v>4060</v>
      </c>
      <c r="B844" t="s">
        <v>4035</v>
      </c>
      <c r="D844" t="s">
        <v>66</v>
      </c>
      <c r="E844" t="s">
        <v>4036</v>
      </c>
      <c r="F844" t="s">
        <v>4037</v>
      </c>
      <c r="G844">
        <v>191</v>
      </c>
      <c r="H844" t="s">
        <v>63</v>
      </c>
      <c r="I844">
        <v>5</v>
      </c>
      <c r="J844" t="str">
        <f>HYPERLINK("Gene4060-zp_tree_all.dnd", "Gene4060-tree")</f>
        <v>Gene4060-tree</v>
      </c>
      <c r="K844">
        <v>2</v>
      </c>
      <c r="L844">
        <v>3</v>
      </c>
      <c r="M844">
        <v>2</v>
      </c>
      <c r="N844">
        <v>3</v>
      </c>
      <c r="O844">
        <v>0.6</v>
      </c>
      <c r="P844" t="s">
        <v>124</v>
      </c>
      <c r="Q844" t="s">
        <v>86</v>
      </c>
      <c r="R844" t="s">
        <v>66</v>
      </c>
      <c r="S844" t="s">
        <v>66</v>
      </c>
      <c r="T844">
        <v>0</v>
      </c>
      <c r="U844">
        <v>0</v>
      </c>
      <c r="V844">
        <v>12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12</v>
      </c>
      <c r="AG844">
        <v>0</v>
      </c>
      <c r="AH844">
        <v>5</v>
      </c>
      <c r="AI844">
        <v>2</v>
      </c>
      <c r="AJ844">
        <v>16</v>
      </c>
      <c r="AK844">
        <v>7</v>
      </c>
      <c r="AL844">
        <v>9</v>
      </c>
      <c r="AM844">
        <v>6</v>
      </c>
      <c r="AN844" t="s">
        <v>4038</v>
      </c>
      <c r="AO844" t="s">
        <v>4039</v>
      </c>
      <c r="AP844">
        <v>0.27800000000000002</v>
      </c>
      <c r="AQ844" t="s">
        <v>69</v>
      </c>
      <c r="AR844">
        <v>25</v>
      </c>
      <c r="AS844">
        <v>13</v>
      </c>
      <c r="AT844">
        <v>3.1060000000000001E-2</v>
      </c>
      <c r="AU844">
        <v>-4.7800000000000004E-3</v>
      </c>
      <c r="AV844">
        <v>9.6439999999999998E-2</v>
      </c>
      <c r="AW844">
        <v>-1.456E-2</v>
      </c>
      <c r="AX844">
        <v>1.456E-2</v>
      </c>
      <c r="AY844">
        <v>-2.5899999999999999E-3</v>
      </c>
      <c r="AZ844">
        <v>0.15093999999999999</v>
      </c>
      <c r="BA844">
        <v>1</v>
      </c>
      <c r="BB844" t="s">
        <v>70</v>
      </c>
      <c r="BC844">
        <v>0.22600000000000001</v>
      </c>
      <c r="BD844">
        <v>-0.20799999999999999</v>
      </c>
      <c r="BE844" t="s">
        <v>71</v>
      </c>
    </row>
    <row r="845" spans="1:57">
      <c r="A845">
        <v>4062</v>
      </c>
      <c r="B845" t="s">
        <v>4040</v>
      </c>
      <c r="D845" t="s">
        <v>66</v>
      </c>
      <c r="E845" t="s">
        <v>4041</v>
      </c>
      <c r="F845" t="s">
        <v>4042</v>
      </c>
      <c r="G845">
        <v>143</v>
      </c>
      <c r="H845" t="s">
        <v>63</v>
      </c>
      <c r="I845">
        <v>5</v>
      </c>
      <c r="J845" t="str">
        <f>HYPERLINK("Gene4062-zp_tree_all.dnd", "Gene4062-tree")</f>
        <v>Gene4062-tree</v>
      </c>
      <c r="K845">
        <v>3</v>
      </c>
      <c r="L845">
        <v>2</v>
      </c>
      <c r="M845">
        <v>2</v>
      </c>
      <c r="N845">
        <v>2</v>
      </c>
      <c r="O845">
        <v>0.5</v>
      </c>
      <c r="P845" t="s">
        <v>185</v>
      </c>
      <c r="Q845" t="s">
        <v>124</v>
      </c>
      <c r="R845" t="s">
        <v>66</v>
      </c>
      <c r="S845" t="s">
        <v>66</v>
      </c>
      <c r="T845">
        <v>1</v>
      </c>
      <c r="U845">
        <v>2</v>
      </c>
      <c r="V845">
        <v>3</v>
      </c>
      <c r="W845">
        <v>0.4</v>
      </c>
      <c r="X845">
        <v>0</v>
      </c>
      <c r="Y845">
        <v>0</v>
      </c>
      <c r="Z845">
        <v>0</v>
      </c>
      <c r="AA845">
        <v>3</v>
      </c>
      <c r="AB845">
        <v>0</v>
      </c>
      <c r="AC845">
        <v>0</v>
      </c>
      <c r="AD845">
        <v>0</v>
      </c>
      <c r="AE845">
        <v>0</v>
      </c>
      <c r="AF845">
        <v>2</v>
      </c>
      <c r="AG845">
        <v>0</v>
      </c>
      <c r="AH845">
        <v>4</v>
      </c>
      <c r="AI845">
        <v>1</v>
      </c>
      <c r="AJ845">
        <v>19</v>
      </c>
      <c r="AK845">
        <v>2</v>
      </c>
      <c r="AL845">
        <v>9</v>
      </c>
      <c r="AM845">
        <v>3</v>
      </c>
      <c r="AN845" t="s">
        <v>4043</v>
      </c>
      <c r="AO845" t="s">
        <v>4044</v>
      </c>
      <c r="AP845">
        <v>3.3260000000000001</v>
      </c>
      <c r="AQ845" t="s">
        <v>69</v>
      </c>
      <c r="AR845">
        <v>28</v>
      </c>
      <c r="AS845">
        <v>5</v>
      </c>
      <c r="AT845">
        <v>4.1860000000000001E-2</v>
      </c>
      <c r="AU845">
        <v>-5.8900000000000003E-3</v>
      </c>
      <c r="AV845">
        <v>0.17605999999999999</v>
      </c>
      <c r="AW845">
        <v>-2.3890000000000002E-2</v>
      </c>
      <c r="AX845">
        <v>9.1500000000000001E-3</v>
      </c>
      <c r="AY845">
        <v>-1.14E-3</v>
      </c>
      <c r="AZ845">
        <v>5.1979999999999998E-2</v>
      </c>
      <c r="BA845">
        <v>1</v>
      </c>
      <c r="BB845" t="s">
        <v>70</v>
      </c>
      <c r="BC845">
        <v>0.21099999999999999</v>
      </c>
      <c r="BD845">
        <v>-0.24099999999999999</v>
      </c>
      <c r="BE845" t="s">
        <v>71</v>
      </c>
    </row>
    <row r="846" spans="1:57">
      <c r="A846">
        <v>4086</v>
      </c>
      <c r="B846" t="s">
        <v>4060</v>
      </c>
      <c r="D846" t="s">
        <v>66</v>
      </c>
      <c r="E846" t="s">
        <v>4061</v>
      </c>
      <c r="F846" t="s">
        <v>4062</v>
      </c>
      <c r="G846">
        <v>159</v>
      </c>
      <c r="H846" t="s">
        <v>106</v>
      </c>
      <c r="I846">
        <v>4</v>
      </c>
      <c r="J846" t="str">
        <f>HYPERLINK("Gene4086-zp_tree_all.dnd", "Gene4086-tree")</f>
        <v>Gene4086-tree</v>
      </c>
      <c r="K846">
        <v>3</v>
      </c>
      <c r="L846">
        <v>1</v>
      </c>
      <c r="M846">
        <v>3</v>
      </c>
      <c r="N846">
        <v>1</v>
      </c>
      <c r="O846">
        <v>0.25</v>
      </c>
      <c r="P846" t="s">
        <v>86</v>
      </c>
      <c r="Q846" t="s">
        <v>65</v>
      </c>
      <c r="R846" t="s">
        <v>66</v>
      </c>
      <c r="S846" t="s">
        <v>66</v>
      </c>
      <c r="T846">
        <v>0</v>
      </c>
      <c r="U846">
        <v>0</v>
      </c>
      <c r="V846">
        <v>2</v>
      </c>
      <c r="W846">
        <v>0</v>
      </c>
      <c r="X846">
        <v>0</v>
      </c>
      <c r="Y846">
        <v>0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0</v>
      </c>
      <c r="AF846">
        <v>1</v>
      </c>
      <c r="AG846">
        <v>0</v>
      </c>
      <c r="AH846">
        <v>4</v>
      </c>
      <c r="AI846">
        <v>1</v>
      </c>
      <c r="AJ846">
        <v>26</v>
      </c>
      <c r="AK846">
        <v>1</v>
      </c>
      <c r="AL846">
        <v>3</v>
      </c>
      <c r="AM846">
        <v>1</v>
      </c>
      <c r="AN846" t="s">
        <v>4063</v>
      </c>
      <c r="AO846" t="s">
        <v>4064</v>
      </c>
      <c r="AP846">
        <v>5.2169999999999996</v>
      </c>
      <c r="AQ846" t="s">
        <v>69</v>
      </c>
      <c r="AR846">
        <v>29</v>
      </c>
      <c r="AS846">
        <v>2</v>
      </c>
      <c r="AT846">
        <v>3.0589999999999999E-2</v>
      </c>
      <c r="AU846">
        <v>-1.8400000000000001E-3</v>
      </c>
      <c r="AV846">
        <v>0.13639999999999999</v>
      </c>
      <c r="AW846">
        <v>-9.4599999999999997E-3</v>
      </c>
      <c r="AX846">
        <v>3.1900000000000001E-3</v>
      </c>
      <c r="AY846">
        <v>-5.5000000000000003E-4</v>
      </c>
      <c r="AZ846">
        <v>2.3380000000000001E-2</v>
      </c>
      <c r="BA846">
        <v>1</v>
      </c>
      <c r="BB846" t="s">
        <v>70</v>
      </c>
      <c r="BC846">
        <v>0.65300000000000002</v>
      </c>
      <c r="BD846">
        <v>-0.48099999999999998</v>
      </c>
      <c r="BE846" t="s">
        <v>71</v>
      </c>
    </row>
    <row r="847" spans="1:57">
      <c r="A847">
        <v>4087</v>
      </c>
      <c r="B847" t="s">
        <v>4065</v>
      </c>
      <c r="D847" t="s">
        <v>66</v>
      </c>
      <c r="E847" t="s">
        <v>4066</v>
      </c>
      <c r="F847" t="s">
        <v>74</v>
      </c>
      <c r="G847">
        <v>56</v>
      </c>
      <c r="H847" t="s">
        <v>63</v>
      </c>
      <c r="I847">
        <v>5</v>
      </c>
      <c r="J847" t="str">
        <f>HYPERLINK("Gene4087-zp_tree_all.dnd", "Gene4087-tree")</f>
        <v>Gene4087-tree</v>
      </c>
      <c r="K847">
        <v>4</v>
      </c>
      <c r="L847">
        <v>1</v>
      </c>
      <c r="M847">
        <v>3</v>
      </c>
      <c r="N847">
        <v>1</v>
      </c>
      <c r="O847">
        <v>0.25</v>
      </c>
      <c r="P847" t="s">
        <v>112</v>
      </c>
      <c r="Q847" t="s">
        <v>65</v>
      </c>
      <c r="R847" t="s">
        <v>66</v>
      </c>
      <c r="S847" t="s">
        <v>66</v>
      </c>
      <c r="T847">
        <v>0</v>
      </c>
      <c r="U847">
        <v>0</v>
      </c>
      <c r="V847">
        <v>1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</v>
      </c>
      <c r="AG847">
        <v>0</v>
      </c>
      <c r="AH847">
        <v>2</v>
      </c>
      <c r="AI847">
        <v>1</v>
      </c>
      <c r="AJ847">
        <v>4</v>
      </c>
      <c r="AK847">
        <v>1</v>
      </c>
      <c r="AL847">
        <v>1</v>
      </c>
      <c r="AM847">
        <v>0</v>
      </c>
      <c r="AN847" t="s">
        <v>4067</v>
      </c>
      <c r="AO847" t="s">
        <v>68</v>
      </c>
      <c r="AP847">
        <v>1.1180000000000001</v>
      </c>
      <c r="AQ847" t="s">
        <v>69</v>
      </c>
      <c r="AR847">
        <v>5</v>
      </c>
      <c r="AS847">
        <v>1</v>
      </c>
      <c r="AT847">
        <v>1.8849999999999999E-2</v>
      </c>
      <c r="AU847">
        <v>-4.7400000000000003E-3</v>
      </c>
      <c r="AV847">
        <v>7.9820000000000002E-2</v>
      </c>
      <c r="AW847">
        <v>-1.9060000000000001E-2</v>
      </c>
      <c r="AX847">
        <v>3.8E-3</v>
      </c>
      <c r="AY847">
        <v>-1.5499999999999999E-3</v>
      </c>
      <c r="AZ847">
        <v>4.7640000000000002E-2</v>
      </c>
      <c r="BA847">
        <v>1</v>
      </c>
      <c r="BB847" t="s">
        <v>70</v>
      </c>
      <c r="BC847">
        <v>-0.66800000000000004</v>
      </c>
      <c r="BD847">
        <v>-0.66800000000000004</v>
      </c>
      <c r="BE847" t="s">
        <v>71</v>
      </c>
    </row>
    <row r="848" spans="1:57">
      <c r="A848">
        <v>4105</v>
      </c>
      <c r="B848" t="s">
        <v>4071</v>
      </c>
      <c r="D848" t="s">
        <v>66</v>
      </c>
      <c r="E848" t="s">
        <v>4072</v>
      </c>
      <c r="F848" t="s">
        <v>4001</v>
      </c>
      <c r="G848">
        <v>611</v>
      </c>
      <c r="H848" t="s">
        <v>85</v>
      </c>
      <c r="I848">
        <v>4</v>
      </c>
      <c r="J848" t="str">
        <f>HYPERLINK("Gene4105-zp_tree_all.dnd", "Gene4105-tree")</f>
        <v>Gene4105-tree</v>
      </c>
      <c r="K848">
        <v>3</v>
      </c>
      <c r="L848">
        <v>1</v>
      </c>
      <c r="M848">
        <v>3</v>
      </c>
      <c r="N848">
        <v>1</v>
      </c>
      <c r="O848">
        <v>0.25</v>
      </c>
      <c r="P848" t="s">
        <v>86</v>
      </c>
      <c r="Q848" t="s">
        <v>65</v>
      </c>
      <c r="R848" t="s">
        <v>66</v>
      </c>
      <c r="S848" t="s">
        <v>66</v>
      </c>
      <c r="T848">
        <v>0</v>
      </c>
      <c r="U848">
        <v>0</v>
      </c>
      <c r="V848">
        <v>5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5</v>
      </c>
      <c r="AG848">
        <v>0</v>
      </c>
      <c r="AH848">
        <v>4</v>
      </c>
      <c r="AI848">
        <v>1</v>
      </c>
      <c r="AJ848">
        <v>94</v>
      </c>
      <c r="AK848">
        <v>6</v>
      </c>
      <c r="AL848">
        <v>2</v>
      </c>
      <c r="AM848">
        <v>0</v>
      </c>
      <c r="AN848" t="s">
        <v>4073</v>
      </c>
      <c r="AO848" t="s">
        <v>68</v>
      </c>
      <c r="AP848">
        <v>0.47</v>
      </c>
      <c r="AQ848" t="s">
        <v>69</v>
      </c>
      <c r="AR848">
        <v>96</v>
      </c>
      <c r="AS848">
        <v>6</v>
      </c>
      <c r="AT848">
        <v>2.682E-2</v>
      </c>
      <c r="AU848">
        <v>-7.5500000000000003E-3</v>
      </c>
      <c r="AV848">
        <v>0.12856999999999999</v>
      </c>
      <c r="AW848">
        <v>-3.6760000000000001E-2</v>
      </c>
      <c r="AX848">
        <v>2.1099999999999999E-3</v>
      </c>
      <c r="AY848">
        <v>-8.5999999999999998E-4</v>
      </c>
      <c r="AZ848">
        <v>1.6400000000000001E-2</v>
      </c>
      <c r="BA848">
        <v>1</v>
      </c>
      <c r="BB848" t="s">
        <v>70</v>
      </c>
      <c r="BC848">
        <v>-0.53500000000000003</v>
      </c>
      <c r="BD848">
        <v>-0.63600000000000001</v>
      </c>
      <c r="BE848" t="s">
        <v>71</v>
      </c>
    </row>
    <row r="849" spans="1:57">
      <c r="A849">
        <v>4106</v>
      </c>
      <c r="B849" t="s">
        <v>4074</v>
      </c>
      <c r="D849" t="s">
        <v>66</v>
      </c>
      <c r="E849" t="s">
        <v>4075</v>
      </c>
      <c r="F849" t="s">
        <v>645</v>
      </c>
      <c r="G849">
        <v>235</v>
      </c>
      <c r="H849" t="s">
        <v>63</v>
      </c>
      <c r="I849">
        <v>5</v>
      </c>
      <c r="J849" t="str">
        <f>HYPERLINK("Gene4106-zp_tree_all.dnd", "Gene4106-tree")</f>
        <v>Gene4106-tree</v>
      </c>
      <c r="K849">
        <v>5</v>
      </c>
      <c r="L849">
        <v>0</v>
      </c>
      <c r="M849">
        <v>5</v>
      </c>
      <c r="N849">
        <v>0</v>
      </c>
      <c r="O849">
        <v>0</v>
      </c>
      <c r="P849" t="s">
        <v>96</v>
      </c>
      <c r="Q849" t="s">
        <v>66</v>
      </c>
      <c r="R849" t="s">
        <v>66</v>
      </c>
      <c r="S849" t="s">
        <v>66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5</v>
      </c>
      <c r="AI849">
        <v>2</v>
      </c>
      <c r="AJ849">
        <v>23</v>
      </c>
      <c r="AK849">
        <v>0</v>
      </c>
      <c r="AL849">
        <v>14</v>
      </c>
      <c r="AM849">
        <v>0</v>
      </c>
      <c r="AN849" t="s">
        <v>68</v>
      </c>
      <c r="AO849" t="s">
        <v>68</v>
      </c>
      <c r="AP849">
        <v>0</v>
      </c>
      <c r="AQ849" t="s">
        <v>69</v>
      </c>
      <c r="AR849">
        <v>37</v>
      </c>
      <c r="AS849">
        <v>0</v>
      </c>
      <c r="AT849">
        <v>2.4680000000000001E-2</v>
      </c>
      <c r="AU849">
        <v>-3.8400000000000001E-3</v>
      </c>
      <c r="AV849">
        <v>0.12139999999999999</v>
      </c>
      <c r="AW849">
        <v>-1.9460000000000002E-2</v>
      </c>
      <c r="AX849">
        <v>0</v>
      </c>
      <c r="AY849">
        <v>0</v>
      </c>
      <c r="AZ849">
        <v>0</v>
      </c>
      <c r="BA849">
        <v>1</v>
      </c>
      <c r="BB849" t="s">
        <v>70</v>
      </c>
      <c r="BC849">
        <v>5.1999999999999998E-2</v>
      </c>
      <c r="BD849">
        <v>-0.122</v>
      </c>
      <c r="BE849" t="s">
        <v>71</v>
      </c>
    </row>
    <row r="850" spans="1:57">
      <c r="A850">
        <v>4107</v>
      </c>
      <c r="B850" t="s">
        <v>4076</v>
      </c>
      <c r="D850" t="s">
        <v>66</v>
      </c>
      <c r="E850" t="s">
        <v>4077</v>
      </c>
      <c r="F850" t="s">
        <v>4078</v>
      </c>
      <c r="G850">
        <v>430</v>
      </c>
      <c r="H850" t="s">
        <v>63</v>
      </c>
      <c r="I850">
        <v>5</v>
      </c>
      <c r="J850" t="str">
        <f>HYPERLINK("Gene4107-zp_tree_all.dnd", "Gene4107-tree")</f>
        <v>Gene4107-tree</v>
      </c>
      <c r="K850">
        <v>2</v>
      </c>
      <c r="L850">
        <v>3</v>
      </c>
      <c r="M850">
        <v>2</v>
      </c>
      <c r="N850">
        <v>3</v>
      </c>
      <c r="O850">
        <v>0.6</v>
      </c>
      <c r="P850" t="s">
        <v>124</v>
      </c>
      <c r="Q850" t="s">
        <v>86</v>
      </c>
      <c r="R850" t="s">
        <v>66</v>
      </c>
      <c r="S850" t="s">
        <v>66</v>
      </c>
      <c r="T850">
        <v>0</v>
      </c>
      <c r="U850">
        <v>0</v>
      </c>
      <c r="V850">
        <v>6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6</v>
      </c>
      <c r="AG850">
        <v>0</v>
      </c>
      <c r="AH850">
        <v>5</v>
      </c>
      <c r="AI850">
        <v>2</v>
      </c>
      <c r="AJ850">
        <v>39</v>
      </c>
      <c r="AK850">
        <v>3</v>
      </c>
      <c r="AL850">
        <v>34</v>
      </c>
      <c r="AM850">
        <v>3</v>
      </c>
      <c r="AN850" t="s">
        <v>4079</v>
      </c>
      <c r="AO850" t="s">
        <v>4080</v>
      </c>
      <c r="AP850">
        <v>6.2E-2</v>
      </c>
      <c r="AQ850" t="s">
        <v>69</v>
      </c>
      <c r="AR850">
        <v>73</v>
      </c>
      <c r="AS850">
        <v>6</v>
      </c>
      <c r="AT850">
        <v>0.03</v>
      </c>
      <c r="AU850">
        <v>-5.3600000000000002E-3</v>
      </c>
      <c r="AV850">
        <v>0.12786</v>
      </c>
      <c r="AW850">
        <v>-2.3539999999999998E-2</v>
      </c>
      <c r="AX850">
        <v>3.0799999999999998E-3</v>
      </c>
      <c r="AY850">
        <v>-5.5999999999999995E-4</v>
      </c>
      <c r="AZ850">
        <v>2.4060000000000002E-2</v>
      </c>
      <c r="BA850">
        <v>1</v>
      </c>
      <c r="BB850" t="s">
        <v>70</v>
      </c>
      <c r="BC850">
        <v>0.255</v>
      </c>
      <c r="BD850">
        <v>0.154</v>
      </c>
      <c r="BE850" t="s">
        <v>71</v>
      </c>
    </row>
    <row r="851" spans="1:57">
      <c r="A851">
        <v>4109</v>
      </c>
      <c r="B851" t="s">
        <v>4081</v>
      </c>
      <c r="D851" t="s">
        <v>66</v>
      </c>
      <c r="E851" t="s">
        <v>4082</v>
      </c>
      <c r="F851" t="s">
        <v>4083</v>
      </c>
      <c r="G851">
        <v>454</v>
      </c>
      <c r="H851" t="s">
        <v>63</v>
      </c>
      <c r="I851">
        <v>5</v>
      </c>
      <c r="J851" t="str">
        <f>HYPERLINK("Gene4109-zp_tree_all.dnd", "Gene4109-tree")</f>
        <v>Gene4109-tree</v>
      </c>
      <c r="K851">
        <v>3</v>
      </c>
      <c r="L851">
        <v>2</v>
      </c>
      <c r="M851">
        <v>3</v>
      </c>
      <c r="N851">
        <v>2</v>
      </c>
      <c r="O851">
        <v>0.4</v>
      </c>
      <c r="P851" t="s">
        <v>86</v>
      </c>
      <c r="Q851" t="s">
        <v>124</v>
      </c>
      <c r="R851" t="s">
        <v>66</v>
      </c>
      <c r="S851" t="s">
        <v>66</v>
      </c>
      <c r="T851">
        <v>0</v>
      </c>
      <c r="U851">
        <v>0</v>
      </c>
      <c r="V851">
        <v>3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0</v>
      </c>
      <c r="AF851">
        <v>2</v>
      </c>
      <c r="AG851">
        <v>0</v>
      </c>
      <c r="AH851">
        <v>4</v>
      </c>
      <c r="AI851">
        <v>2</v>
      </c>
      <c r="AJ851">
        <v>30</v>
      </c>
      <c r="AK851">
        <v>2</v>
      </c>
      <c r="AL851">
        <v>53</v>
      </c>
      <c r="AM851">
        <v>1</v>
      </c>
      <c r="AN851" t="s">
        <v>4084</v>
      </c>
      <c r="AO851" t="s">
        <v>4085</v>
      </c>
      <c r="AP851">
        <v>1.137</v>
      </c>
      <c r="AQ851" t="s">
        <v>69</v>
      </c>
      <c r="AR851">
        <v>83</v>
      </c>
      <c r="AS851">
        <v>3</v>
      </c>
      <c r="AT851">
        <v>3.1419999999999997E-2</v>
      </c>
      <c r="AU851">
        <v>-5.77E-3</v>
      </c>
      <c r="AV851">
        <v>0.14784</v>
      </c>
      <c r="AW851">
        <v>-2.8549999999999999E-2</v>
      </c>
      <c r="AX851">
        <v>1.34E-3</v>
      </c>
      <c r="AY851">
        <v>-2.4000000000000001E-4</v>
      </c>
      <c r="AZ851">
        <v>9.0900000000000009E-3</v>
      </c>
      <c r="BA851">
        <v>1</v>
      </c>
      <c r="BB851" t="s">
        <v>70</v>
      </c>
      <c r="BC851">
        <v>1.198</v>
      </c>
      <c r="BD851">
        <v>0.624</v>
      </c>
      <c r="BE851" t="s">
        <v>71</v>
      </c>
    </row>
    <row r="852" spans="1:57">
      <c r="A852">
        <v>4115</v>
      </c>
      <c r="B852" t="s">
        <v>4088</v>
      </c>
      <c r="D852" t="s">
        <v>66</v>
      </c>
      <c r="E852" t="s">
        <v>4089</v>
      </c>
      <c r="F852" t="s">
        <v>4090</v>
      </c>
      <c r="G852">
        <v>149</v>
      </c>
      <c r="H852" t="s">
        <v>85</v>
      </c>
      <c r="I852">
        <v>4</v>
      </c>
      <c r="J852" t="str">
        <f>HYPERLINK("Gene4115-zp_tree_all.dnd", "Gene4115-tree")</f>
        <v>Gene4115-tree</v>
      </c>
      <c r="K852">
        <v>3</v>
      </c>
      <c r="L852">
        <v>1</v>
      </c>
      <c r="M852">
        <v>3</v>
      </c>
      <c r="N852">
        <v>1</v>
      </c>
      <c r="O852">
        <v>0.25</v>
      </c>
      <c r="P852" t="s">
        <v>86</v>
      </c>
      <c r="Q852" t="s">
        <v>65</v>
      </c>
      <c r="R852" t="s">
        <v>66</v>
      </c>
      <c r="S852" t="s">
        <v>66</v>
      </c>
      <c r="T852">
        <v>0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1</v>
      </c>
      <c r="AG852">
        <v>0</v>
      </c>
      <c r="AH852">
        <v>4</v>
      </c>
      <c r="AI852">
        <v>1</v>
      </c>
      <c r="AJ852">
        <v>18</v>
      </c>
      <c r="AK852">
        <v>1</v>
      </c>
      <c r="AL852">
        <v>4</v>
      </c>
      <c r="AM852">
        <v>0</v>
      </c>
      <c r="AN852" t="s">
        <v>4091</v>
      </c>
      <c r="AO852" t="s">
        <v>68</v>
      </c>
      <c r="AP852">
        <v>0.436</v>
      </c>
      <c r="AQ852" t="s">
        <v>69</v>
      </c>
      <c r="AR852">
        <v>22</v>
      </c>
      <c r="AS852">
        <v>1</v>
      </c>
      <c r="AT852">
        <v>2.7400000000000001E-2</v>
      </c>
      <c r="AU852">
        <v>-6.5300000000000002E-3</v>
      </c>
      <c r="AV852">
        <v>0.13471</v>
      </c>
      <c r="AW852">
        <v>-3.295E-2</v>
      </c>
      <c r="AX852">
        <v>1.4499999999999999E-3</v>
      </c>
      <c r="AY852">
        <v>-5.9000000000000003E-4</v>
      </c>
      <c r="AZ852">
        <v>1.073E-2</v>
      </c>
      <c r="BA852">
        <v>1</v>
      </c>
      <c r="BB852" t="s">
        <v>70</v>
      </c>
      <c r="BC852">
        <v>-0.311</v>
      </c>
      <c r="BD852">
        <v>-0.311</v>
      </c>
      <c r="BE852" t="s">
        <v>71</v>
      </c>
    </row>
    <row r="853" spans="1:57">
      <c r="A853">
        <v>4116</v>
      </c>
      <c r="B853" t="s">
        <v>4092</v>
      </c>
      <c r="D853" t="s">
        <v>66</v>
      </c>
      <c r="E853" t="s">
        <v>4093</v>
      </c>
      <c r="F853" t="s">
        <v>74</v>
      </c>
      <c r="G853">
        <v>659</v>
      </c>
      <c r="H853" t="s">
        <v>63</v>
      </c>
      <c r="I853">
        <v>5</v>
      </c>
      <c r="J853" t="str">
        <f>HYPERLINK("Gene4116-zp_tree_all.dnd", "Gene4116-tree")</f>
        <v>Gene4116-tree</v>
      </c>
      <c r="K853">
        <v>4</v>
      </c>
      <c r="L853">
        <v>1</v>
      </c>
      <c r="M853">
        <v>4</v>
      </c>
      <c r="N853">
        <v>1</v>
      </c>
      <c r="O853">
        <v>0.2</v>
      </c>
      <c r="P853" t="s">
        <v>64</v>
      </c>
      <c r="Q853" t="s">
        <v>65</v>
      </c>
      <c r="R853" t="s">
        <v>66</v>
      </c>
      <c r="S853" t="s">
        <v>66</v>
      </c>
      <c r="T853">
        <v>0</v>
      </c>
      <c r="U853">
        <v>0</v>
      </c>
      <c r="V853">
        <v>7</v>
      </c>
      <c r="W853">
        <v>0</v>
      </c>
      <c r="X853">
        <v>0</v>
      </c>
      <c r="Y853">
        <v>0</v>
      </c>
      <c r="Z853">
        <v>0</v>
      </c>
      <c r="AA853">
        <v>5</v>
      </c>
      <c r="AB853">
        <v>0</v>
      </c>
      <c r="AC853">
        <v>0</v>
      </c>
      <c r="AD853">
        <v>0</v>
      </c>
      <c r="AE853">
        <v>0</v>
      </c>
      <c r="AF853">
        <v>2</v>
      </c>
      <c r="AG853">
        <v>0</v>
      </c>
      <c r="AH853">
        <v>5</v>
      </c>
      <c r="AI853">
        <v>2</v>
      </c>
      <c r="AJ853">
        <v>46</v>
      </c>
      <c r="AK853">
        <v>2</v>
      </c>
      <c r="AL853">
        <v>65</v>
      </c>
      <c r="AM853">
        <v>5</v>
      </c>
      <c r="AN853" t="s">
        <v>4094</v>
      </c>
      <c r="AO853" t="s">
        <v>4095</v>
      </c>
      <c r="AP853">
        <v>0.23200000000000001</v>
      </c>
      <c r="AQ853" t="s">
        <v>69</v>
      </c>
      <c r="AR853">
        <v>111</v>
      </c>
      <c r="AS853">
        <v>7</v>
      </c>
      <c r="AT853">
        <v>3.005E-2</v>
      </c>
      <c r="AU853">
        <v>-5.6299999999999996E-3</v>
      </c>
      <c r="AV853">
        <v>0.13503000000000001</v>
      </c>
      <c r="AW853">
        <v>-2.5760000000000002E-2</v>
      </c>
      <c r="AX853">
        <v>2.5200000000000001E-3</v>
      </c>
      <c r="AY853">
        <v>-5.9999999999999995E-4</v>
      </c>
      <c r="AZ853">
        <v>1.865E-2</v>
      </c>
      <c r="BA853">
        <v>1</v>
      </c>
      <c r="BB853" t="s">
        <v>70</v>
      </c>
      <c r="BC853">
        <v>0.79800000000000004</v>
      </c>
      <c r="BD853">
        <v>0.65600000000000003</v>
      </c>
      <c r="BE853" t="s">
        <v>71</v>
      </c>
    </row>
    <row r="854" spans="1:57">
      <c r="A854">
        <v>4117</v>
      </c>
      <c r="B854" t="s">
        <v>4096</v>
      </c>
      <c r="D854" t="s">
        <v>66</v>
      </c>
      <c r="E854" t="s">
        <v>4097</v>
      </c>
      <c r="F854" t="s">
        <v>74</v>
      </c>
      <c r="G854">
        <v>309</v>
      </c>
      <c r="H854" t="s">
        <v>63</v>
      </c>
      <c r="I854">
        <v>5</v>
      </c>
      <c r="J854" t="str">
        <f>HYPERLINK("Gene4117-zp_tree_all.dnd", "Gene4117-tree")</f>
        <v>Gene4117-tree</v>
      </c>
      <c r="K854">
        <v>1</v>
      </c>
      <c r="L854">
        <v>4</v>
      </c>
      <c r="M854">
        <v>1</v>
      </c>
      <c r="N854">
        <v>4</v>
      </c>
      <c r="O854">
        <v>0.8</v>
      </c>
      <c r="P854" t="s">
        <v>65</v>
      </c>
      <c r="Q854" t="s">
        <v>64</v>
      </c>
      <c r="R854" t="s">
        <v>66</v>
      </c>
      <c r="S854" t="s">
        <v>66</v>
      </c>
      <c r="T854">
        <v>2</v>
      </c>
      <c r="U854">
        <v>4</v>
      </c>
      <c r="V854">
        <v>20</v>
      </c>
      <c r="W854">
        <v>0.16667000000000001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4</v>
      </c>
      <c r="AE854">
        <v>4</v>
      </c>
      <c r="AF854">
        <v>20</v>
      </c>
      <c r="AG854">
        <v>0.16667000000000001</v>
      </c>
      <c r="AH854">
        <v>5</v>
      </c>
      <c r="AI854">
        <v>2</v>
      </c>
      <c r="AJ854">
        <v>15</v>
      </c>
      <c r="AK854">
        <v>11</v>
      </c>
      <c r="AL854">
        <v>21</v>
      </c>
      <c r="AM854">
        <v>13</v>
      </c>
      <c r="AN854" t="s">
        <v>4098</v>
      </c>
      <c r="AO854" t="s">
        <v>4099</v>
      </c>
      <c r="AP854">
        <v>0.158</v>
      </c>
      <c r="AQ854" t="s">
        <v>69</v>
      </c>
      <c r="AR854">
        <v>36</v>
      </c>
      <c r="AS854">
        <v>24</v>
      </c>
      <c r="AT854">
        <v>3.2689999999999997E-2</v>
      </c>
      <c r="AU854">
        <v>-5.9699999999999996E-3</v>
      </c>
      <c r="AV854">
        <v>9.0249999999999997E-2</v>
      </c>
      <c r="AW854">
        <v>-1.7469999999999999E-2</v>
      </c>
      <c r="AX854">
        <v>1.746E-2</v>
      </c>
      <c r="AY854">
        <v>-3.1099999999999999E-3</v>
      </c>
      <c r="AZ854">
        <v>0.19347</v>
      </c>
      <c r="BA854">
        <v>1</v>
      </c>
      <c r="BB854" t="s">
        <v>70</v>
      </c>
      <c r="BC854">
        <v>0.66800000000000004</v>
      </c>
      <c r="BD854">
        <v>0.53200000000000003</v>
      </c>
      <c r="BE854" t="s">
        <v>71</v>
      </c>
    </row>
    <row r="855" spans="1:57">
      <c r="A855">
        <v>4154</v>
      </c>
      <c r="B855" t="s">
        <v>4106</v>
      </c>
      <c r="D855" t="s">
        <v>66</v>
      </c>
      <c r="E855" t="s">
        <v>4107</v>
      </c>
      <c r="F855" t="s">
        <v>4108</v>
      </c>
      <c r="G855">
        <v>79</v>
      </c>
      <c r="H855" t="s">
        <v>63</v>
      </c>
      <c r="I855">
        <v>5</v>
      </c>
      <c r="J855" t="str">
        <f>HYPERLINK("Gene4154-zp_tree_all.dnd", "Gene4154-tree")</f>
        <v>Gene4154-tree</v>
      </c>
      <c r="K855">
        <v>5</v>
      </c>
      <c r="L855">
        <v>0</v>
      </c>
      <c r="M855">
        <v>4</v>
      </c>
      <c r="N855">
        <v>0</v>
      </c>
      <c r="O855">
        <v>0</v>
      </c>
      <c r="P855" t="s">
        <v>135</v>
      </c>
      <c r="Q855" t="s">
        <v>66</v>
      </c>
      <c r="R855" t="s">
        <v>66</v>
      </c>
      <c r="S855" t="s">
        <v>66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2</v>
      </c>
      <c r="AI855">
        <v>1</v>
      </c>
      <c r="AJ855">
        <v>3</v>
      </c>
      <c r="AK855">
        <v>0</v>
      </c>
      <c r="AL855">
        <v>2</v>
      </c>
      <c r="AM855">
        <v>0</v>
      </c>
      <c r="AN855" t="s">
        <v>68</v>
      </c>
      <c r="AO855" t="s">
        <v>68</v>
      </c>
      <c r="AP855">
        <v>0</v>
      </c>
      <c r="AQ855" t="s">
        <v>69</v>
      </c>
      <c r="AR855">
        <v>5</v>
      </c>
      <c r="AS855">
        <v>0</v>
      </c>
      <c r="AT855">
        <v>1.055E-2</v>
      </c>
      <c r="AU855">
        <v>-1.65E-3</v>
      </c>
      <c r="AV855">
        <v>4.3810000000000002E-2</v>
      </c>
      <c r="AW855">
        <v>-7.0200000000000002E-3</v>
      </c>
      <c r="AX855">
        <v>0</v>
      </c>
      <c r="AY855">
        <v>0</v>
      </c>
      <c r="AZ855">
        <v>0</v>
      </c>
      <c r="BA855">
        <v>1</v>
      </c>
      <c r="BB855" t="s">
        <v>70</v>
      </c>
      <c r="BC855">
        <v>0.95699999999999996</v>
      </c>
      <c r="BD855">
        <v>0.95699999999999996</v>
      </c>
      <c r="BE855" t="s">
        <v>71</v>
      </c>
    </row>
    <row r="856" spans="1:57">
      <c r="A856">
        <v>4155</v>
      </c>
      <c r="B856" t="s">
        <v>4109</v>
      </c>
      <c r="D856" t="s">
        <v>66</v>
      </c>
      <c r="E856" t="s">
        <v>4110</v>
      </c>
      <c r="F856" t="s">
        <v>4111</v>
      </c>
      <c r="G856">
        <v>172</v>
      </c>
      <c r="H856" t="s">
        <v>63</v>
      </c>
      <c r="I856">
        <v>5</v>
      </c>
      <c r="J856" t="str">
        <f>HYPERLINK("Gene4155-zp_tree_all.dnd", "Gene4155-tree")</f>
        <v>Gene4155-tree</v>
      </c>
      <c r="K856">
        <v>4</v>
      </c>
      <c r="L856">
        <v>1</v>
      </c>
      <c r="M856">
        <v>3</v>
      </c>
      <c r="N856">
        <v>1</v>
      </c>
      <c r="O856">
        <v>0.25</v>
      </c>
      <c r="P856" t="s">
        <v>112</v>
      </c>
      <c r="Q856" t="s">
        <v>65</v>
      </c>
      <c r="R856" t="s">
        <v>66</v>
      </c>
      <c r="S856" t="s">
        <v>66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1</v>
      </c>
      <c r="AG856">
        <v>0</v>
      </c>
      <c r="AH856">
        <v>3</v>
      </c>
      <c r="AI856">
        <v>1</v>
      </c>
      <c r="AJ856">
        <v>6</v>
      </c>
      <c r="AK856">
        <v>1</v>
      </c>
      <c r="AL856">
        <v>2</v>
      </c>
      <c r="AM856">
        <v>0</v>
      </c>
      <c r="AN856" t="s">
        <v>4112</v>
      </c>
      <c r="AO856" t="s">
        <v>68</v>
      </c>
      <c r="AP856">
        <v>0.79800000000000004</v>
      </c>
      <c r="AQ856" t="s">
        <v>69</v>
      </c>
      <c r="AR856">
        <v>8</v>
      </c>
      <c r="AS856">
        <v>1</v>
      </c>
      <c r="AT856">
        <v>9.3699999999999999E-3</v>
      </c>
      <c r="AU856">
        <v>-1.5399999999999999E-3</v>
      </c>
      <c r="AV856">
        <v>3.8150000000000003E-2</v>
      </c>
      <c r="AW856">
        <v>-5.7999999999999996E-3</v>
      </c>
      <c r="AX856">
        <v>1.25E-3</v>
      </c>
      <c r="AY856">
        <v>-5.1000000000000004E-4</v>
      </c>
      <c r="AZ856">
        <v>3.2899999999999999E-2</v>
      </c>
      <c r="BA856">
        <v>1</v>
      </c>
      <c r="BB856" t="s">
        <v>70</v>
      </c>
      <c r="BC856">
        <v>-0.52600000000000002</v>
      </c>
      <c r="BD856">
        <v>-0.52600000000000002</v>
      </c>
      <c r="BE856" t="s">
        <v>71</v>
      </c>
    </row>
    <row r="857" spans="1:57">
      <c r="A857">
        <v>4162</v>
      </c>
      <c r="B857" t="s">
        <v>4118</v>
      </c>
      <c r="D857" t="s">
        <v>66</v>
      </c>
      <c r="E857" t="s">
        <v>4119</v>
      </c>
      <c r="F857" t="s">
        <v>4120</v>
      </c>
      <c r="G857">
        <v>282</v>
      </c>
      <c r="H857" t="s">
        <v>85</v>
      </c>
      <c r="I857">
        <v>4</v>
      </c>
      <c r="J857" t="str">
        <f>HYPERLINK("Gene4162-zp_tree_all.dnd", "Gene4162-tree")</f>
        <v>Gene4162-tree</v>
      </c>
      <c r="K857">
        <v>0</v>
      </c>
      <c r="L857">
        <v>4</v>
      </c>
      <c r="M857">
        <v>0</v>
      </c>
      <c r="N857">
        <v>4</v>
      </c>
      <c r="O857">
        <v>1</v>
      </c>
      <c r="P857" t="s">
        <v>66</v>
      </c>
      <c r="Q857" t="s">
        <v>64</v>
      </c>
      <c r="R857" t="s">
        <v>66</v>
      </c>
      <c r="S857" t="s">
        <v>66</v>
      </c>
      <c r="T857">
        <v>0</v>
      </c>
      <c r="U857">
        <v>0</v>
      </c>
      <c r="V857">
        <v>6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7</v>
      </c>
      <c r="AG857">
        <v>0</v>
      </c>
      <c r="AH857">
        <v>4</v>
      </c>
      <c r="AI857">
        <v>1</v>
      </c>
      <c r="AJ857">
        <v>42</v>
      </c>
      <c r="AK857">
        <v>7</v>
      </c>
      <c r="AL857">
        <v>2</v>
      </c>
      <c r="AM857">
        <v>0</v>
      </c>
      <c r="AN857" t="s">
        <v>4121</v>
      </c>
      <c r="AO857" t="s">
        <v>68</v>
      </c>
      <c r="AP857">
        <v>0.96399999999999997</v>
      </c>
      <c r="AQ857" t="s">
        <v>69</v>
      </c>
      <c r="AR857">
        <v>44</v>
      </c>
      <c r="AS857">
        <v>7</v>
      </c>
      <c r="AT857">
        <v>3.0249999999999999E-2</v>
      </c>
      <c r="AU857">
        <v>-7.5700000000000003E-3</v>
      </c>
      <c r="AV857">
        <v>0.13017999999999999</v>
      </c>
      <c r="AW857">
        <v>-3.5830000000000001E-2</v>
      </c>
      <c r="AX857">
        <v>5.4000000000000003E-3</v>
      </c>
      <c r="AY857">
        <v>-9.5E-4</v>
      </c>
      <c r="AZ857">
        <v>4.1459999999999997E-2</v>
      </c>
      <c r="BA857">
        <v>1</v>
      </c>
      <c r="BB857" t="s">
        <v>70</v>
      </c>
      <c r="BC857">
        <v>-0.67700000000000005</v>
      </c>
      <c r="BD857">
        <v>-0.86699999999999999</v>
      </c>
      <c r="BE857" t="s">
        <v>71</v>
      </c>
    </row>
    <row r="858" spans="1:57">
      <c r="A858">
        <v>4165</v>
      </c>
      <c r="B858" t="s">
        <v>4125</v>
      </c>
      <c r="D858" t="s">
        <v>66</v>
      </c>
      <c r="E858" t="s">
        <v>4126</v>
      </c>
      <c r="F858" t="s">
        <v>4127</v>
      </c>
      <c r="G858">
        <v>283</v>
      </c>
      <c r="H858" t="s">
        <v>63</v>
      </c>
      <c r="I858">
        <v>5</v>
      </c>
      <c r="J858" t="str">
        <f>HYPERLINK("Gene4165-zp_tree_all.dnd", "Gene4165-tree")</f>
        <v>Gene4165-tree</v>
      </c>
      <c r="K858">
        <v>4</v>
      </c>
      <c r="L858">
        <v>1</v>
      </c>
      <c r="M858">
        <v>4</v>
      </c>
      <c r="N858">
        <v>1</v>
      </c>
      <c r="O858">
        <v>0.2</v>
      </c>
      <c r="P858" t="s">
        <v>64</v>
      </c>
      <c r="Q858" t="s">
        <v>65</v>
      </c>
      <c r="R858" t="s">
        <v>66</v>
      </c>
      <c r="S858" t="s">
        <v>66</v>
      </c>
      <c r="T858">
        <v>0</v>
      </c>
      <c r="U858">
        <v>0</v>
      </c>
      <c r="V858">
        <v>3</v>
      </c>
      <c r="W858">
        <v>0</v>
      </c>
      <c r="X858">
        <v>0</v>
      </c>
      <c r="Y858">
        <v>0</v>
      </c>
      <c r="Z858">
        <v>0</v>
      </c>
      <c r="AA858">
        <v>2</v>
      </c>
      <c r="AB858">
        <v>0</v>
      </c>
      <c r="AC858">
        <v>0</v>
      </c>
      <c r="AD858">
        <v>0</v>
      </c>
      <c r="AE858">
        <v>0</v>
      </c>
      <c r="AF858">
        <v>1</v>
      </c>
      <c r="AG858">
        <v>0</v>
      </c>
      <c r="AH858">
        <v>5</v>
      </c>
      <c r="AI858">
        <v>2</v>
      </c>
      <c r="AJ858">
        <v>10</v>
      </c>
      <c r="AK858">
        <v>1</v>
      </c>
      <c r="AL858">
        <v>22</v>
      </c>
      <c r="AM858">
        <v>2</v>
      </c>
      <c r="AN858" t="s">
        <v>4128</v>
      </c>
      <c r="AO858" t="s">
        <v>4129</v>
      </c>
      <c r="AP858">
        <v>7.0000000000000007E-2</v>
      </c>
      <c r="AQ858" t="s">
        <v>69</v>
      </c>
      <c r="AR858">
        <v>32</v>
      </c>
      <c r="AS858">
        <v>3</v>
      </c>
      <c r="AT858">
        <v>2.214E-2</v>
      </c>
      <c r="AU858">
        <v>-4.2900000000000004E-3</v>
      </c>
      <c r="AV858">
        <v>0.10086000000000001</v>
      </c>
      <c r="AW858">
        <v>-2.0129999999999999E-2</v>
      </c>
      <c r="AX858">
        <v>2.4199999999999998E-3</v>
      </c>
      <c r="AY858">
        <v>-4.2000000000000002E-4</v>
      </c>
      <c r="AZ858">
        <v>2.402E-2</v>
      </c>
      <c r="BA858">
        <v>1</v>
      </c>
      <c r="BB858" t="s">
        <v>70</v>
      </c>
      <c r="BC858">
        <v>0.89300000000000002</v>
      </c>
      <c r="BD858">
        <v>0.89300000000000002</v>
      </c>
      <c r="BE858" t="s">
        <v>71</v>
      </c>
    </row>
    <row r="859" spans="1:57">
      <c r="A859">
        <v>4166</v>
      </c>
      <c r="B859" t="s">
        <v>4130</v>
      </c>
      <c r="D859" t="s">
        <v>66</v>
      </c>
      <c r="E859" t="s">
        <v>4131</v>
      </c>
      <c r="F859" t="s">
        <v>4132</v>
      </c>
      <c r="G859">
        <v>239</v>
      </c>
      <c r="H859" t="s">
        <v>63</v>
      </c>
      <c r="I859">
        <v>5</v>
      </c>
      <c r="J859" t="str">
        <f>HYPERLINK("Gene4166-zp_tree_all.dnd", "Gene4166-tree")</f>
        <v>Gene4166-tree</v>
      </c>
      <c r="K859">
        <v>3</v>
      </c>
      <c r="L859">
        <v>2</v>
      </c>
      <c r="M859">
        <v>3</v>
      </c>
      <c r="N859">
        <v>2</v>
      </c>
      <c r="O859">
        <v>0.4</v>
      </c>
      <c r="P859" t="s">
        <v>86</v>
      </c>
      <c r="Q859" t="s">
        <v>124</v>
      </c>
      <c r="R859" t="s">
        <v>66</v>
      </c>
      <c r="S859" t="s">
        <v>66</v>
      </c>
      <c r="T859">
        <v>1</v>
      </c>
      <c r="U859">
        <v>2</v>
      </c>
      <c r="V859">
        <v>4</v>
      </c>
      <c r="W859">
        <v>0.33333000000000002</v>
      </c>
      <c r="X859">
        <v>0</v>
      </c>
      <c r="Y859">
        <v>0</v>
      </c>
      <c r="Z859">
        <v>0</v>
      </c>
      <c r="AA859">
        <v>3</v>
      </c>
      <c r="AB859">
        <v>0</v>
      </c>
      <c r="AC859">
        <v>0</v>
      </c>
      <c r="AD859">
        <v>0</v>
      </c>
      <c r="AE859">
        <v>0</v>
      </c>
      <c r="AF859">
        <v>3</v>
      </c>
      <c r="AG859">
        <v>0</v>
      </c>
      <c r="AH859">
        <v>5</v>
      </c>
      <c r="AI859">
        <v>2</v>
      </c>
      <c r="AJ859">
        <v>24</v>
      </c>
      <c r="AK859">
        <v>3</v>
      </c>
      <c r="AL859">
        <v>25</v>
      </c>
      <c r="AM859">
        <v>4</v>
      </c>
      <c r="AN859" t="s">
        <v>4133</v>
      </c>
      <c r="AO859" t="s">
        <v>4134</v>
      </c>
      <c r="AP859">
        <v>0.20599999999999999</v>
      </c>
      <c r="AQ859" t="s">
        <v>69</v>
      </c>
      <c r="AR859">
        <v>49</v>
      </c>
      <c r="AS859">
        <v>7</v>
      </c>
      <c r="AT859">
        <v>3.8350000000000002E-2</v>
      </c>
      <c r="AU859">
        <v>-5.7000000000000002E-3</v>
      </c>
      <c r="AV859">
        <v>0.16822999999999999</v>
      </c>
      <c r="AW859">
        <v>-2.7310000000000001E-2</v>
      </c>
      <c r="AX859">
        <v>6.3600000000000002E-3</v>
      </c>
      <c r="AY859">
        <v>-9.3999999999999997E-4</v>
      </c>
      <c r="AZ859">
        <v>3.7789999999999997E-2</v>
      </c>
      <c r="BA859">
        <v>1</v>
      </c>
      <c r="BB859" t="s">
        <v>70</v>
      </c>
      <c r="BC859">
        <v>0.61199999999999999</v>
      </c>
      <c r="BD859">
        <v>0.46300000000000002</v>
      </c>
      <c r="BE859" t="s">
        <v>71</v>
      </c>
    </row>
    <row r="860" spans="1:57">
      <c r="A860">
        <v>4167</v>
      </c>
      <c r="B860" t="s">
        <v>4135</v>
      </c>
      <c r="D860" t="s">
        <v>66</v>
      </c>
      <c r="E860" t="s">
        <v>4136</v>
      </c>
      <c r="F860" t="s">
        <v>4137</v>
      </c>
      <c r="G860">
        <v>628</v>
      </c>
      <c r="H860" t="s">
        <v>63</v>
      </c>
      <c r="I860">
        <v>5</v>
      </c>
      <c r="J860" t="str">
        <f>HYPERLINK("Gene4167-zp_tree_all.dnd", "Gene4167-tree")</f>
        <v>Gene4167-tree</v>
      </c>
      <c r="K860">
        <v>3</v>
      </c>
      <c r="L860">
        <v>2</v>
      </c>
      <c r="M860">
        <v>3</v>
      </c>
      <c r="N860">
        <v>2</v>
      </c>
      <c r="O860">
        <v>0.4</v>
      </c>
      <c r="P860" t="s">
        <v>86</v>
      </c>
      <c r="Q860" t="s">
        <v>124</v>
      </c>
      <c r="R860" t="s">
        <v>66</v>
      </c>
      <c r="S860" t="s">
        <v>66</v>
      </c>
      <c r="T860">
        <v>0</v>
      </c>
      <c r="U860">
        <v>0</v>
      </c>
      <c r="V860">
        <v>4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4</v>
      </c>
      <c r="AG860">
        <v>0</v>
      </c>
      <c r="AH860">
        <v>5</v>
      </c>
      <c r="AI860">
        <v>2</v>
      </c>
      <c r="AJ860">
        <v>61</v>
      </c>
      <c r="AK860">
        <v>4</v>
      </c>
      <c r="AL860">
        <v>57</v>
      </c>
      <c r="AM860">
        <v>0</v>
      </c>
      <c r="AN860" t="s">
        <v>4138</v>
      </c>
      <c r="AO860" t="s">
        <v>68</v>
      </c>
      <c r="AP860">
        <v>0.90600000000000003</v>
      </c>
      <c r="AQ860" t="s">
        <v>69</v>
      </c>
      <c r="AR860">
        <v>118</v>
      </c>
      <c r="AS860">
        <v>4</v>
      </c>
      <c r="AT860">
        <v>3.0089999999999999E-2</v>
      </c>
      <c r="AU860">
        <v>-4.3099999999999996E-3</v>
      </c>
      <c r="AV860">
        <v>0.13475999999999999</v>
      </c>
      <c r="AW860">
        <v>-2.0140000000000002E-2</v>
      </c>
      <c r="AX860">
        <v>1.33E-3</v>
      </c>
      <c r="AY860">
        <v>-2.9999999999999997E-4</v>
      </c>
      <c r="AZ860">
        <v>9.8799999999999999E-3</v>
      </c>
      <c r="BA860">
        <v>1</v>
      </c>
      <c r="BB860" t="s">
        <v>70</v>
      </c>
      <c r="BC860">
        <v>0.54700000000000004</v>
      </c>
      <c r="BD860">
        <v>0.115</v>
      </c>
      <c r="BE860" t="s">
        <v>71</v>
      </c>
    </row>
    <row r="861" spans="1:57">
      <c r="A861">
        <v>4168</v>
      </c>
      <c r="B861" t="s">
        <v>4139</v>
      </c>
      <c r="D861" t="s">
        <v>66</v>
      </c>
      <c r="E861" t="s">
        <v>4140</v>
      </c>
      <c r="F861" t="s">
        <v>4141</v>
      </c>
      <c r="G861">
        <v>459</v>
      </c>
      <c r="H861" t="s">
        <v>63</v>
      </c>
      <c r="I861">
        <v>5</v>
      </c>
      <c r="J861" t="str">
        <f>HYPERLINK("Gene4168-zp_tree_all.dnd", "Gene4168-tree")</f>
        <v>Gene4168-tree</v>
      </c>
      <c r="K861">
        <v>3</v>
      </c>
      <c r="L861">
        <v>2</v>
      </c>
      <c r="M861">
        <v>3</v>
      </c>
      <c r="N861">
        <v>2</v>
      </c>
      <c r="O861">
        <v>0.4</v>
      </c>
      <c r="P861" t="s">
        <v>86</v>
      </c>
      <c r="Q861" t="s">
        <v>124</v>
      </c>
      <c r="R861" t="s">
        <v>66</v>
      </c>
      <c r="S861" t="s">
        <v>66</v>
      </c>
      <c r="T861">
        <v>0</v>
      </c>
      <c r="U861">
        <v>0</v>
      </c>
      <c r="V861">
        <v>7</v>
      </c>
      <c r="W861">
        <v>0</v>
      </c>
      <c r="X861">
        <v>0</v>
      </c>
      <c r="Y861">
        <v>0</v>
      </c>
      <c r="Z861">
        <v>0</v>
      </c>
      <c r="AA861">
        <v>3</v>
      </c>
      <c r="AB861">
        <v>0</v>
      </c>
      <c r="AC861">
        <v>0</v>
      </c>
      <c r="AD861">
        <v>0</v>
      </c>
      <c r="AE861">
        <v>0</v>
      </c>
      <c r="AF861">
        <v>4</v>
      </c>
      <c r="AG861">
        <v>0</v>
      </c>
      <c r="AH861">
        <v>5</v>
      </c>
      <c r="AI861">
        <v>2</v>
      </c>
      <c r="AJ861">
        <v>40</v>
      </c>
      <c r="AK861">
        <v>4</v>
      </c>
      <c r="AL861">
        <v>44</v>
      </c>
      <c r="AM861">
        <v>3</v>
      </c>
      <c r="AN861" t="s">
        <v>4142</v>
      </c>
      <c r="AO861" t="s">
        <v>4143</v>
      </c>
      <c r="AP861">
        <v>0.27900000000000003</v>
      </c>
      <c r="AQ861" t="s">
        <v>69</v>
      </c>
      <c r="AR861">
        <v>84</v>
      </c>
      <c r="AS861">
        <v>7</v>
      </c>
      <c r="AT861">
        <v>3.0939999999999999E-2</v>
      </c>
      <c r="AU861">
        <v>-4.6299999999999996E-3</v>
      </c>
      <c r="AV861">
        <v>0.13449</v>
      </c>
      <c r="AW861">
        <v>-2.1680000000000001E-2</v>
      </c>
      <c r="AX861">
        <v>3.2399999999999998E-3</v>
      </c>
      <c r="AY861">
        <v>-5.9000000000000003E-4</v>
      </c>
      <c r="AZ861">
        <v>2.4109999999999999E-2</v>
      </c>
      <c r="BA861">
        <v>1</v>
      </c>
      <c r="BB861" t="s">
        <v>70</v>
      </c>
      <c r="BC861">
        <v>0.93600000000000005</v>
      </c>
      <c r="BD861">
        <v>0.29599999999999999</v>
      </c>
      <c r="BE861" t="s">
        <v>71</v>
      </c>
    </row>
    <row r="862" spans="1:57">
      <c r="A862">
        <v>4170</v>
      </c>
      <c r="B862" t="s">
        <v>4144</v>
      </c>
      <c r="D862" t="s">
        <v>66</v>
      </c>
      <c r="E862" t="s">
        <v>4145</v>
      </c>
      <c r="F862" t="s">
        <v>4146</v>
      </c>
      <c r="G862">
        <v>261</v>
      </c>
      <c r="H862" t="s">
        <v>63</v>
      </c>
      <c r="I862">
        <v>5</v>
      </c>
      <c r="J862" t="str">
        <f>HYPERLINK("Gene4170-zp_tree_all.dnd", "Gene4170-tree")</f>
        <v>Gene4170-tree</v>
      </c>
      <c r="K862">
        <v>4</v>
      </c>
      <c r="L862">
        <v>1</v>
      </c>
      <c r="M862">
        <v>4</v>
      </c>
      <c r="N862">
        <v>1</v>
      </c>
      <c r="O862">
        <v>0.2</v>
      </c>
      <c r="P862" t="s">
        <v>64</v>
      </c>
      <c r="Q862" t="s">
        <v>65</v>
      </c>
      <c r="R862" t="s">
        <v>66</v>
      </c>
      <c r="S862" t="s">
        <v>66</v>
      </c>
      <c r="T862">
        <v>1</v>
      </c>
      <c r="U862">
        <v>2</v>
      </c>
      <c r="V862">
        <v>2</v>
      </c>
      <c r="W862">
        <v>0.5</v>
      </c>
      <c r="X862">
        <v>0</v>
      </c>
      <c r="Y862">
        <v>0</v>
      </c>
      <c r="Z862">
        <v>0</v>
      </c>
      <c r="AA862">
        <v>2</v>
      </c>
      <c r="AB862">
        <v>0</v>
      </c>
      <c r="AC862">
        <v>0</v>
      </c>
      <c r="AD862">
        <v>0</v>
      </c>
      <c r="AE862">
        <v>0</v>
      </c>
      <c r="AF862">
        <v>2</v>
      </c>
      <c r="AG862">
        <v>0</v>
      </c>
      <c r="AH862">
        <v>5</v>
      </c>
      <c r="AI862">
        <v>2</v>
      </c>
      <c r="AJ862">
        <v>13</v>
      </c>
      <c r="AK862">
        <v>2</v>
      </c>
      <c r="AL862">
        <v>16</v>
      </c>
      <c r="AM862">
        <v>2</v>
      </c>
      <c r="AN862" t="s">
        <v>4147</v>
      </c>
      <c r="AO862" t="s">
        <v>4148</v>
      </c>
      <c r="AP862">
        <v>0.111</v>
      </c>
      <c r="AQ862" t="s">
        <v>69</v>
      </c>
      <c r="AR862">
        <v>29</v>
      </c>
      <c r="AS862">
        <v>4</v>
      </c>
      <c r="AT862">
        <v>2.095E-2</v>
      </c>
      <c r="AU862">
        <v>-3.2100000000000002E-3</v>
      </c>
      <c r="AV862">
        <v>9.5820000000000002E-2</v>
      </c>
      <c r="AW862">
        <v>-1.5789999999999998E-2</v>
      </c>
      <c r="AX862">
        <v>2.5999999999999999E-3</v>
      </c>
      <c r="AY862">
        <v>-4.0999999999999999E-4</v>
      </c>
      <c r="AZ862">
        <v>2.7179999999999999E-2</v>
      </c>
      <c r="BA862">
        <v>1</v>
      </c>
      <c r="BB862" t="s">
        <v>70</v>
      </c>
      <c r="BC862">
        <v>0.50700000000000001</v>
      </c>
      <c r="BD862">
        <v>0.50700000000000001</v>
      </c>
      <c r="BE862" t="s">
        <v>71</v>
      </c>
    </row>
    <row r="863" spans="1:57">
      <c r="A863">
        <v>4171</v>
      </c>
      <c r="B863" t="s">
        <v>4149</v>
      </c>
      <c r="D863" t="s">
        <v>66</v>
      </c>
      <c r="E863" t="s">
        <v>4150</v>
      </c>
      <c r="F863" t="s">
        <v>4151</v>
      </c>
      <c r="G863">
        <v>116</v>
      </c>
      <c r="H863" t="s">
        <v>63</v>
      </c>
      <c r="I863">
        <v>5</v>
      </c>
      <c r="J863" t="str">
        <f>HYPERLINK("Gene4171-zp_tree_all.dnd", "Gene4171-tree")</f>
        <v>Gene4171-tree</v>
      </c>
      <c r="K863">
        <v>3</v>
      </c>
      <c r="L863">
        <v>2</v>
      </c>
      <c r="M863">
        <v>2</v>
      </c>
      <c r="N863">
        <v>2</v>
      </c>
      <c r="O863">
        <v>0.5</v>
      </c>
      <c r="P863" t="s">
        <v>185</v>
      </c>
      <c r="Q863" t="s">
        <v>124</v>
      </c>
      <c r="R863" t="s">
        <v>66</v>
      </c>
      <c r="S863" t="s">
        <v>66</v>
      </c>
      <c r="T863">
        <v>0</v>
      </c>
      <c r="U863">
        <v>0</v>
      </c>
      <c r="V863">
        <v>2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2</v>
      </c>
      <c r="AG863">
        <v>0</v>
      </c>
      <c r="AH863">
        <v>3</v>
      </c>
      <c r="AI863">
        <v>1</v>
      </c>
      <c r="AJ863">
        <v>3</v>
      </c>
      <c r="AK863">
        <v>2</v>
      </c>
      <c r="AL863">
        <v>10</v>
      </c>
      <c r="AM863">
        <v>0</v>
      </c>
      <c r="AN863" t="s">
        <v>4152</v>
      </c>
      <c r="AO863" t="s">
        <v>68</v>
      </c>
      <c r="AP863">
        <v>1.48</v>
      </c>
      <c r="AQ863" t="s">
        <v>69</v>
      </c>
      <c r="AR863">
        <v>13</v>
      </c>
      <c r="AS863">
        <v>2</v>
      </c>
      <c r="AT863">
        <v>2.538E-2</v>
      </c>
      <c r="AU863">
        <v>-5.3099999999999996E-3</v>
      </c>
      <c r="AV863">
        <v>0.11422</v>
      </c>
      <c r="AW863">
        <v>-2.75E-2</v>
      </c>
      <c r="AX863">
        <v>3.6900000000000001E-3</v>
      </c>
      <c r="AY863">
        <v>-6.2E-4</v>
      </c>
      <c r="AZ863">
        <v>3.227E-2</v>
      </c>
      <c r="BA863">
        <v>1</v>
      </c>
      <c r="BB863" t="s">
        <v>70</v>
      </c>
      <c r="BC863">
        <v>1.171</v>
      </c>
      <c r="BD863">
        <v>0.73799999999999999</v>
      </c>
      <c r="BE863" t="s">
        <v>71</v>
      </c>
    </row>
    <row r="864" spans="1:57">
      <c r="A864">
        <v>2801</v>
      </c>
      <c r="B864" t="s">
        <v>4160</v>
      </c>
      <c r="D864" t="s">
        <v>66</v>
      </c>
      <c r="E864" t="s">
        <v>4161</v>
      </c>
      <c r="F864" t="s">
        <v>4162</v>
      </c>
      <c r="G864">
        <v>371</v>
      </c>
      <c r="H864" t="s">
        <v>63</v>
      </c>
      <c r="I864">
        <v>5</v>
      </c>
      <c r="J864" t="str">
        <f>HYPERLINK("Gene2801-zp_tree_all.dnd", "Gene2801-tree")</f>
        <v>Gene2801-tree</v>
      </c>
      <c r="K864">
        <v>1</v>
      </c>
      <c r="L864">
        <v>4</v>
      </c>
      <c r="M864">
        <v>1</v>
      </c>
      <c r="N864">
        <v>4</v>
      </c>
      <c r="O864">
        <v>0.8</v>
      </c>
      <c r="P864" t="s">
        <v>65</v>
      </c>
      <c r="Q864" t="s">
        <v>64</v>
      </c>
      <c r="R864" t="s">
        <v>66</v>
      </c>
      <c r="S864" t="s">
        <v>66</v>
      </c>
      <c r="T864">
        <v>0</v>
      </c>
      <c r="U864">
        <v>0</v>
      </c>
      <c r="V864">
        <v>8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8</v>
      </c>
      <c r="AG864">
        <v>0</v>
      </c>
      <c r="AH864">
        <v>5</v>
      </c>
      <c r="AI864">
        <v>2</v>
      </c>
      <c r="AJ864">
        <v>37</v>
      </c>
      <c r="AK864">
        <v>6</v>
      </c>
      <c r="AL864">
        <v>34</v>
      </c>
      <c r="AM864">
        <v>3</v>
      </c>
      <c r="AN864" t="s">
        <v>4163</v>
      </c>
      <c r="AO864" t="s">
        <v>4164</v>
      </c>
      <c r="AP864">
        <v>0.77</v>
      </c>
      <c r="AQ864" t="s">
        <v>69</v>
      </c>
      <c r="AR864">
        <v>71</v>
      </c>
      <c r="AS864">
        <v>9</v>
      </c>
      <c r="AT864">
        <v>3.3599999999999998E-2</v>
      </c>
      <c r="AU864">
        <v>-4.9399999999999999E-3</v>
      </c>
      <c r="AV864">
        <v>0.14968999999999999</v>
      </c>
      <c r="AW864">
        <v>-2.401E-2</v>
      </c>
      <c r="AX864">
        <v>5.11E-3</v>
      </c>
      <c r="AY864">
        <v>-6.2E-4</v>
      </c>
      <c r="AZ864">
        <v>3.4160000000000003E-2</v>
      </c>
      <c r="BA864">
        <v>1</v>
      </c>
      <c r="BB864" t="s">
        <v>70</v>
      </c>
      <c r="BC864">
        <v>0.40100000000000002</v>
      </c>
      <c r="BD864">
        <v>0.316</v>
      </c>
      <c r="BE864" t="s">
        <v>71</v>
      </c>
    </row>
    <row r="865" spans="1:57">
      <c r="A865">
        <v>10</v>
      </c>
      <c r="B865" t="s">
        <v>93</v>
      </c>
      <c r="D865" t="s">
        <v>60</v>
      </c>
      <c r="E865" t="s">
        <v>94</v>
      </c>
      <c r="F865" t="s">
        <v>95</v>
      </c>
      <c r="G865">
        <v>443</v>
      </c>
      <c r="H865" t="s">
        <v>63</v>
      </c>
      <c r="I865">
        <v>5</v>
      </c>
      <c r="J865" t="str">
        <f>HYPERLINK("Gene10-zp_tree_all.dnd", "Gene10-tree")</f>
        <v>Gene10-tree</v>
      </c>
      <c r="K865">
        <v>0</v>
      </c>
      <c r="L865">
        <v>5</v>
      </c>
      <c r="M865">
        <v>0</v>
      </c>
      <c r="N865">
        <v>5</v>
      </c>
      <c r="O865">
        <v>1</v>
      </c>
      <c r="P865" t="s">
        <v>66</v>
      </c>
      <c r="Q865" t="s">
        <v>96</v>
      </c>
      <c r="R865" t="s">
        <v>66</v>
      </c>
      <c r="S865" t="s">
        <v>66</v>
      </c>
      <c r="T865">
        <v>1</v>
      </c>
      <c r="U865">
        <v>2</v>
      </c>
      <c r="V865">
        <v>13</v>
      </c>
      <c r="W865">
        <v>0.13333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2</v>
      </c>
      <c r="AD865">
        <v>0</v>
      </c>
      <c r="AE865">
        <v>2</v>
      </c>
      <c r="AF865">
        <v>13</v>
      </c>
      <c r="AG865">
        <v>0.13333</v>
      </c>
      <c r="AH865">
        <v>5</v>
      </c>
      <c r="AI865">
        <v>2</v>
      </c>
      <c r="AJ865">
        <v>26</v>
      </c>
      <c r="AK865">
        <v>9</v>
      </c>
      <c r="AL865">
        <v>35</v>
      </c>
      <c r="AM865">
        <v>6</v>
      </c>
      <c r="AN865" t="s">
        <v>97</v>
      </c>
      <c r="AO865" t="s">
        <v>98</v>
      </c>
      <c r="AP865">
        <v>0.76600000000000001</v>
      </c>
      <c r="AQ865" t="s">
        <v>69</v>
      </c>
      <c r="AR865">
        <v>61</v>
      </c>
      <c r="AS865">
        <v>15</v>
      </c>
      <c r="AT865">
        <v>2.852E-2</v>
      </c>
      <c r="AU865">
        <v>-5.3600000000000002E-3</v>
      </c>
      <c r="AV865">
        <v>0.11509</v>
      </c>
      <c r="AW865">
        <v>-2.281E-2</v>
      </c>
      <c r="AX865">
        <v>6.8300000000000001E-3</v>
      </c>
      <c r="AY865">
        <v>-1.14E-3</v>
      </c>
      <c r="AZ865">
        <v>5.9339999999999997E-2</v>
      </c>
      <c r="BA865">
        <v>1</v>
      </c>
      <c r="BB865" t="s">
        <v>70</v>
      </c>
      <c r="BC865">
        <v>0.61899999999999999</v>
      </c>
      <c r="BD865">
        <v>0.51100000000000001</v>
      </c>
      <c r="BE865" t="s">
        <v>71</v>
      </c>
    </row>
    <row r="866" spans="1:57">
      <c r="A866">
        <v>67</v>
      </c>
      <c r="B866" t="s">
        <v>211</v>
      </c>
      <c r="D866" t="s">
        <v>60</v>
      </c>
      <c r="E866" t="s">
        <v>212</v>
      </c>
      <c r="F866" t="s">
        <v>213</v>
      </c>
      <c r="G866">
        <v>472</v>
      </c>
      <c r="H866" t="s">
        <v>63</v>
      </c>
      <c r="I866">
        <v>5</v>
      </c>
      <c r="J866" t="str">
        <f>HYPERLINK("Gene67-zp_tree_all.dnd", "Gene67-tree")</f>
        <v>Gene67-tree</v>
      </c>
      <c r="K866">
        <v>0</v>
      </c>
      <c r="L866">
        <v>5</v>
      </c>
      <c r="M866">
        <v>0</v>
      </c>
      <c r="N866">
        <v>5</v>
      </c>
      <c r="O866">
        <v>1</v>
      </c>
      <c r="P866" t="s">
        <v>66</v>
      </c>
      <c r="Q866" t="s">
        <v>96</v>
      </c>
      <c r="R866" t="s">
        <v>66</v>
      </c>
      <c r="S866" t="s">
        <v>66</v>
      </c>
      <c r="T866">
        <v>2</v>
      </c>
      <c r="U866">
        <v>4</v>
      </c>
      <c r="V866">
        <v>25</v>
      </c>
      <c r="W866">
        <v>0.13793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2</v>
      </c>
      <c r="AD866">
        <v>2</v>
      </c>
      <c r="AE866">
        <v>4</v>
      </c>
      <c r="AF866">
        <v>25</v>
      </c>
      <c r="AG866">
        <v>0.13793</v>
      </c>
      <c r="AH866">
        <v>5</v>
      </c>
      <c r="AI866">
        <v>2</v>
      </c>
      <c r="AJ866">
        <v>21</v>
      </c>
      <c r="AK866">
        <v>19</v>
      </c>
      <c r="AL866">
        <v>33</v>
      </c>
      <c r="AM866">
        <v>10</v>
      </c>
      <c r="AN866" t="s">
        <v>214</v>
      </c>
      <c r="AO866" t="s">
        <v>215</v>
      </c>
      <c r="AP866">
        <v>1.615</v>
      </c>
      <c r="AQ866" t="s">
        <v>69</v>
      </c>
      <c r="AR866">
        <v>54</v>
      </c>
      <c r="AS866">
        <v>29</v>
      </c>
      <c r="AT866">
        <v>2.895E-2</v>
      </c>
      <c r="AU866">
        <v>-4.9399999999999999E-3</v>
      </c>
      <c r="AV866">
        <v>9.6420000000000006E-2</v>
      </c>
      <c r="AW866">
        <v>-1.873E-2</v>
      </c>
      <c r="AX866">
        <v>1.226E-2</v>
      </c>
      <c r="AY866">
        <v>-1.66E-3</v>
      </c>
      <c r="AZ866">
        <v>0.12712000000000001</v>
      </c>
      <c r="BA866">
        <v>1</v>
      </c>
      <c r="BB866" t="s">
        <v>70</v>
      </c>
      <c r="BC866">
        <v>0.61599999999999999</v>
      </c>
      <c r="BD866">
        <v>0.53600000000000003</v>
      </c>
      <c r="BE866" t="s">
        <v>71</v>
      </c>
    </row>
    <row r="867" spans="1:57">
      <c r="A867">
        <v>95</v>
      </c>
      <c r="B867" t="s">
        <v>289</v>
      </c>
      <c r="D867" t="s">
        <v>60</v>
      </c>
      <c r="E867" t="s">
        <v>290</v>
      </c>
      <c r="F867" t="s">
        <v>291</v>
      </c>
      <c r="G867">
        <v>143</v>
      </c>
      <c r="H867" t="s">
        <v>106</v>
      </c>
      <c r="I867">
        <v>4</v>
      </c>
      <c r="J867" t="str">
        <f>HYPERLINK("Gene95-zp_tree_all.dnd", "Gene95-tree")</f>
        <v>Gene95-tree</v>
      </c>
      <c r="K867">
        <v>1</v>
      </c>
      <c r="L867">
        <v>3</v>
      </c>
      <c r="M867">
        <v>1</v>
      </c>
      <c r="N867">
        <v>3</v>
      </c>
      <c r="O867">
        <v>0.75</v>
      </c>
      <c r="P867" t="s">
        <v>65</v>
      </c>
      <c r="Q867" t="s">
        <v>86</v>
      </c>
      <c r="R867" t="s">
        <v>66</v>
      </c>
      <c r="S867" t="s">
        <v>66</v>
      </c>
      <c r="T867">
        <v>1</v>
      </c>
      <c r="U867">
        <v>2</v>
      </c>
      <c r="V867">
        <v>5</v>
      </c>
      <c r="W867">
        <v>0.28571000000000002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2</v>
      </c>
      <c r="AD867">
        <v>0</v>
      </c>
      <c r="AE867">
        <v>2</v>
      </c>
      <c r="AF867">
        <v>5</v>
      </c>
      <c r="AG867">
        <v>0.28571000000000002</v>
      </c>
      <c r="AH867">
        <v>3</v>
      </c>
      <c r="AI867">
        <v>1</v>
      </c>
      <c r="AJ867">
        <v>17</v>
      </c>
      <c r="AK867">
        <v>7</v>
      </c>
      <c r="AL867">
        <v>1</v>
      </c>
      <c r="AM867">
        <v>0</v>
      </c>
      <c r="AN867" t="s">
        <v>292</v>
      </c>
      <c r="AO867" t="s">
        <v>68</v>
      </c>
      <c r="AP867">
        <v>0.83199999999999996</v>
      </c>
      <c r="AQ867" t="s">
        <v>69</v>
      </c>
      <c r="AR867">
        <v>18</v>
      </c>
      <c r="AS867">
        <v>7</v>
      </c>
      <c r="AT867">
        <v>2.8750000000000001E-2</v>
      </c>
      <c r="AU867">
        <v>-8.6800000000000002E-3</v>
      </c>
      <c r="AV867">
        <v>0.10303</v>
      </c>
      <c r="AW867">
        <v>-3.4119999999999998E-2</v>
      </c>
      <c r="AX867">
        <v>9.6900000000000007E-3</v>
      </c>
      <c r="AY867">
        <v>-2.4499999999999999E-3</v>
      </c>
      <c r="AZ867">
        <v>9.4089999999999993E-2</v>
      </c>
      <c r="BA867">
        <v>1</v>
      </c>
      <c r="BB867" t="s">
        <v>70</v>
      </c>
      <c r="BC867">
        <v>-0.59599999999999997</v>
      </c>
      <c r="BD867">
        <v>-0.59599999999999997</v>
      </c>
      <c r="BE867" t="s">
        <v>71</v>
      </c>
    </row>
    <row r="868" spans="1:57">
      <c r="A868">
        <v>292</v>
      </c>
      <c r="B868" t="s">
        <v>571</v>
      </c>
      <c r="D868" t="s">
        <v>60</v>
      </c>
      <c r="E868" t="s">
        <v>572</v>
      </c>
      <c r="F868" t="s">
        <v>74</v>
      </c>
      <c r="G868">
        <v>257</v>
      </c>
      <c r="H868" t="s">
        <v>85</v>
      </c>
      <c r="I868">
        <v>4</v>
      </c>
      <c r="J868" t="str">
        <f>HYPERLINK("Gene292-zp_tree_all.dnd", "Gene292-tree")</f>
        <v>Gene292-tree</v>
      </c>
      <c r="K868">
        <v>2</v>
      </c>
      <c r="L868">
        <v>2</v>
      </c>
      <c r="M868">
        <v>2</v>
      </c>
      <c r="N868">
        <v>2</v>
      </c>
      <c r="O868">
        <v>0.5</v>
      </c>
      <c r="P868" t="s">
        <v>124</v>
      </c>
      <c r="Q868" t="s">
        <v>124</v>
      </c>
      <c r="R868" t="s">
        <v>66</v>
      </c>
      <c r="S868" t="s">
        <v>66</v>
      </c>
      <c r="T868">
        <v>1</v>
      </c>
      <c r="U868">
        <v>2</v>
      </c>
      <c r="V868">
        <v>6</v>
      </c>
      <c r="W868">
        <v>0.25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2</v>
      </c>
      <c r="AD868">
        <v>0</v>
      </c>
      <c r="AE868">
        <v>2</v>
      </c>
      <c r="AF868">
        <v>6</v>
      </c>
      <c r="AG868">
        <v>0.25</v>
      </c>
      <c r="AH868">
        <v>4</v>
      </c>
      <c r="AI868">
        <v>1</v>
      </c>
      <c r="AJ868">
        <v>35</v>
      </c>
      <c r="AK868">
        <v>8</v>
      </c>
      <c r="AL868">
        <v>4</v>
      </c>
      <c r="AM868">
        <v>0</v>
      </c>
      <c r="AN868" t="s">
        <v>573</v>
      </c>
      <c r="AO868" t="s">
        <v>68</v>
      </c>
      <c r="AP868">
        <v>0.54200000000000004</v>
      </c>
      <c r="AQ868" t="s">
        <v>69</v>
      </c>
      <c r="AR868">
        <v>39</v>
      </c>
      <c r="AS868">
        <v>8</v>
      </c>
      <c r="AT868">
        <v>3.005E-2</v>
      </c>
      <c r="AU868">
        <v>-7.7499999999999999E-3</v>
      </c>
      <c r="AV868">
        <v>0.12479999999999999</v>
      </c>
      <c r="AW868">
        <v>-3.2009999999999997E-2</v>
      </c>
      <c r="AX868">
        <v>6.1900000000000002E-3</v>
      </c>
      <c r="AY868">
        <v>-2.0999999999999999E-3</v>
      </c>
      <c r="AZ868">
        <v>4.9639999999999997E-2</v>
      </c>
      <c r="BA868">
        <v>1</v>
      </c>
      <c r="BB868" t="s">
        <v>70</v>
      </c>
      <c r="BC868">
        <v>-0.36099999999999999</v>
      </c>
      <c r="BD868">
        <v>-0.57699999999999996</v>
      </c>
      <c r="BE868" t="s">
        <v>71</v>
      </c>
    </row>
    <row r="869" spans="1:57">
      <c r="A869">
        <v>299</v>
      </c>
      <c r="B869" t="s">
        <v>579</v>
      </c>
      <c r="D869" t="s">
        <v>60</v>
      </c>
      <c r="E869" t="s">
        <v>580</v>
      </c>
      <c r="F869" t="s">
        <v>581</v>
      </c>
      <c r="G869">
        <v>282</v>
      </c>
      <c r="H869" t="s">
        <v>63</v>
      </c>
      <c r="I869">
        <v>5</v>
      </c>
      <c r="J869" t="str">
        <f>HYPERLINK("Gene299-zp_tree_all.dnd", "Gene299-tree")</f>
        <v>Gene299-tree</v>
      </c>
      <c r="K869">
        <v>2</v>
      </c>
      <c r="L869">
        <v>3</v>
      </c>
      <c r="M869">
        <v>2</v>
      </c>
      <c r="N869">
        <v>3</v>
      </c>
      <c r="O869">
        <v>0.6</v>
      </c>
      <c r="P869" t="s">
        <v>124</v>
      </c>
      <c r="Q869" t="s">
        <v>86</v>
      </c>
      <c r="R869" t="s">
        <v>66</v>
      </c>
      <c r="S869" t="s">
        <v>66</v>
      </c>
      <c r="T869">
        <v>1</v>
      </c>
      <c r="U869">
        <v>2</v>
      </c>
      <c r="V869">
        <v>4</v>
      </c>
      <c r="W869">
        <v>0.33333000000000002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2</v>
      </c>
      <c r="AD869">
        <v>0</v>
      </c>
      <c r="AE869">
        <v>2</v>
      </c>
      <c r="AF869">
        <v>4</v>
      </c>
      <c r="AG869">
        <v>0.33333000000000002</v>
      </c>
      <c r="AH869">
        <v>5</v>
      </c>
      <c r="AI869">
        <v>2</v>
      </c>
      <c r="AJ869">
        <v>32</v>
      </c>
      <c r="AK869">
        <v>4</v>
      </c>
      <c r="AL869">
        <v>19</v>
      </c>
      <c r="AM869">
        <v>2</v>
      </c>
      <c r="AN869" t="s">
        <v>582</v>
      </c>
      <c r="AO869" t="s">
        <v>583</v>
      </c>
      <c r="AP869">
        <v>0.189</v>
      </c>
      <c r="AQ869" t="s">
        <v>69</v>
      </c>
      <c r="AR869">
        <v>51</v>
      </c>
      <c r="AS869">
        <v>6</v>
      </c>
      <c r="AT869">
        <v>2.92E-2</v>
      </c>
      <c r="AU869">
        <v>-3.0799999999999998E-3</v>
      </c>
      <c r="AV869">
        <v>0.11488</v>
      </c>
      <c r="AW869">
        <v>-1.359E-2</v>
      </c>
      <c r="AX869">
        <v>3.79E-3</v>
      </c>
      <c r="AY869">
        <v>-4.6000000000000001E-4</v>
      </c>
      <c r="AZ869">
        <v>3.3020000000000001E-2</v>
      </c>
      <c r="BA869">
        <v>1</v>
      </c>
      <c r="BB869" t="s">
        <v>70</v>
      </c>
      <c r="BC869">
        <v>0.22</v>
      </c>
      <c r="BD869">
        <v>-6.3E-2</v>
      </c>
      <c r="BE869" t="s">
        <v>71</v>
      </c>
    </row>
    <row r="870" spans="1:57">
      <c r="A870">
        <v>409</v>
      </c>
      <c r="B870" t="s">
        <v>674</v>
      </c>
      <c r="D870" t="s">
        <v>60</v>
      </c>
      <c r="E870" t="s">
        <v>675</v>
      </c>
      <c r="F870" t="s">
        <v>74</v>
      </c>
      <c r="G870">
        <v>257</v>
      </c>
      <c r="H870" t="s">
        <v>85</v>
      </c>
      <c r="I870">
        <v>4</v>
      </c>
      <c r="J870" t="str">
        <f>HYPERLINK("Gene409-zp_tree_all.dnd", "Gene409-tree")</f>
        <v>Gene409-tree</v>
      </c>
      <c r="K870">
        <v>0</v>
      </c>
      <c r="L870">
        <v>4</v>
      </c>
      <c r="M870">
        <v>0</v>
      </c>
      <c r="N870">
        <v>4</v>
      </c>
      <c r="O870">
        <v>1</v>
      </c>
      <c r="P870" t="s">
        <v>66</v>
      </c>
      <c r="Q870" t="s">
        <v>64</v>
      </c>
      <c r="R870" t="s">
        <v>66</v>
      </c>
      <c r="S870" t="s">
        <v>66</v>
      </c>
      <c r="T870">
        <v>1</v>
      </c>
      <c r="U870">
        <v>2</v>
      </c>
      <c r="V870">
        <v>9</v>
      </c>
      <c r="W870">
        <v>0.18182000000000001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2</v>
      </c>
      <c r="AD870">
        <v>0</v>
      </c>
      <c r="AE870">
        <v>2</v>
      </c>
      <c r="AF870">
        <v>9</v>
      </c>
      <c r="AG870">
        <v>0.18182000000000001</v>
      </c>
      <c r="AH870">
        <v>4</v>
      </c>
      <c r="AI870">
        <v>1</v>
      </c>
      <c r="AJ870">
        <v>40</v>
      </c>
      <c r="AK870">
        <v>9</v>
      </c>
      <c r="AL870">
        <v>0</v>
      </c>
      <c r="AM870">
        <v>2</v>
      </c>
      <c r="AN870" t="s">
        <v>676</v>
      </c>
      <c r="AO870" t="s">
        <v>68</v>
      </c>
      <c r="AP870">
        <v>1.0029999999999999</v>
      </c>
      <c r="AQ870" t="s">
        <v>69</v>
      </c>
      <c r="AR870">
        <v>40</v>
      </c>
      <c r="AS870">
        <v>11</v>
      </c>
      <c r="AT870">
        <v>3.1989999999999998E-2</v>
      </c>
      <c r="AU870">
        <v>-8.3099999999999997E-3</v>
      </c>
      <c r="AV870">
        <v>0.11658</v>
      </c>
      <c r="AW870">
        <v>-3.4520000000000002E-2</v>
      </c>
      <c r="AX870">
        <v>9.4500000000000001E-3</v>
      </c>
      <c r="AY870">
        <v>-1.7600000000000001E-3</v>
      </c>
      <c r="AZ870">
        <v>8.1049999999999997E-2</v>
      </c>
      <c r="BA870">
        <v>1</v>
      </c>
      <c r="BB870" t="s">
        <v>70</v>
      </c>
      <c r="BC870">
        <v>-0.39300000000000002</v>
      </c>
      <c r="BD870">
        <v>-0.59599999999999997</v>
      </c>
      <c r="BE870" t="s">
        <v>71</v>
      </c>
    </row>
    <row r="871" spans="1:57">
      <c r="A871">
        <v>444</v>
      </c>
      <c r="B871" t="s">
        <v>697</v>
      </c>
      <c r="D871" t="s">
        <v>60</v>
      </c>
      <c r="E871" t="s">
        <v>698</v>
      </c>
      <c r="F871" t="s">
        <v>699</v>
      </c>
      <c r="G871">
        <v>123</v>
      </c>
      <c r="H871" t="s">
        <v>63</v>
      </c>
      <c r="I871">
        <v>5</v>
      </c>
      <c r="J871" t="str">
        <f>HYPERLINK("Gene444-zp_tree_all.dnd", "Gene444-tree")</f>
        <v>Gene444-tree</v>
      </c>
      <c r="K871">
        <v>1</v>
      </c>
      <c r="L871">
        <v>4</v>
      </c>
      <c r="M871">
        <v>1</v>
      </c>
      <c r="N871">
        <v>4</v>
      </c>
      <c r="O871">
        <v>0.8</v>
      </c>
      <c r="P871" t="s">
        <v>65</v>
      </c>
      <c r="Q871" t="s">
        <v>64</v>
      </c>
      <c r="R871" t="s">
        <v>66</v>
      </c>
      <c r="S871" t="s">
        <v>66</v>
      </c>
      <c r="T871">
        <v>2</v>
      </c>
      <c r="U871">
        <v>4</v>
      </c>
      <c r="V871">
        <v>2</v>
      </c>
      <c r="W871">
        <v>0.66666999999999998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2</v>
      </c>
      <c r="AD871">
        <v>2</v>
      </c>
      <c r="AE871">
        <v>4</v>
      </c>
      <c r="AF871">
        <v>2</v>
      </c>
      <c r="AG871">
        <v>0.66666999999999998</v>
      </c>
      <c r="AH871">
        <v>5</v>
      </c>
      <c r="AI871">
        <v>2</v>
      </c>
      <c r="AJ871">
        <v>16</v>
      </c>
      <c r="AK871">
        <v>5</v>
      </c>
      <c r="AL871">
        <v>7</v>
      </c>
      <c r="AM871">
        <v>1</v>
      </c>
      <c r="AN871" t="s">
        <v>700</v>
      </c>
      <c r="AO871" t="s">
        <v>701</v>
      </c>
      <c r="AP871">
        <v>1.216</v>
      </c>
      <c r="AQ871" t="s">
        <v>69</v>
      </c>
      <c r="AR871">
        <v>23</v>
      </c>
      <c r="AS871">
        <v>6</v>
      </c>
      <c r="AT871">
        <v>3.0890000000000001E-2</v>
      </c>
      <c r="AU871">
        <v>-2.7399999999999998E-3</v>
      </c>
      <c r="AV871">
        <v>0.15076000000000001</v>
      </c>
      <c r="AW871">
        <v>-1.4290000000000001E-2</v>
      </c>
      <c r="AX871">
        <v>7.0299999999999998E-3</v>
      </c>
      <c r="AY871">
        <v>-1.2099999999999999E-3</v>
      </c>
      <c r="AZ871">
        <v>4.666E-2</v>
      </c>
      <c r="BA871">
        <v>1</v>
      </c>
      <c r="BB871" t="s">
        <v>70</v>
      </c>
      <c r="BC871">
        <v>0.24199999999999999</v>
      </c>
      <c r="BD871">
        <v>-0.43</v>
      </c>
      <c r="BE871" t="s">
        <v>71</v>
      </c>
    </row>
    <row r="872" spans="1:57">
      <c r="A872">
        <v>647</v>
      </c>
      <c r="B872" t="s">
        <v>828</v>
      </c>
      <c r="D872" t="s">
        <v>60</v>
      </c>
      <c r="E872" t="s">
        <v>829</v>
      </c>
      <c r="F872" t="s">
        <v>830</v>
      </c>
      <c r="G872">
        <v>513</v>
      </c>
      <c r="H872" t="s">
        <v>63</v>
      </c>
      <c r="I872">
        <v>5</v>
      </c>
      <c r="J872" t="str">
        <f>HYPERLINK("Gene647-zp_tree_all.dnd", "Gene647-tree")</f>
        <v>Gene647-tree</v>
      </c>
      <c r="K872">
        <v>2</v>
      </c>
      <c r="L872">
        <v>3</v>
      </c>
      <c r="M872">
        <v>2</v>
      </c>
      <c r="N872">
        <v>3</v>
      </c>
      <c r="O872">
        <v>0.6</v>
      </c>
      <c r="P872" t="s">
        <v>124</v>
      </c>
      <c r="Q872" t="s">
        <v>86</v>
      </c>
      <c r="R872" t="s">
        <v>66</v>
      </c>
      <c r="S872" t="s">
        <v>66</v>
      </c>
      <c r="T872">
        <v>1</v>
      </c>
      <c r="U872">
        <v>2</v>
      </c>
      <c r="V872">
        <v>8</v>
      </c>
      <c r="W872">
        <v>0.2</v>
      </c>
      <c r="X872">
        <v>0</v>
      </c>
      <c r="Y872">
        <v>0</v>
      </c>
      <c r="Z872">
        <v>0</v>
      </c>
      <c r="AA872">
        <v>4</v>
      </c>
      <c r="AB872">
        <v>0</v>
      </c>
      <c r="AC872">
        <v>2</v>
      </c>
      <c r="AD872">
        <v>0</v>
      </c>
      <c r="AE872">
        <v>2</v>
      </c>
      <c r="AF872">
        <v>4</v>
      </c>
      <c r="AG872">
        <v>0.33333000000000002</v>
      </c>
      <c r="AH872">
        <v>5</v>
      </c>
      <c r="AI872">
        <v>2</v>
      </c>
      <c r="AJ872">
        <v>29</v>
      </c>
      <c r="AK872">
        <v>6</v>
      </c>
      <c r="AL872">
        <v>34</v>
      </c>
      <c r="AM872">
        <v>4</v>
      </c>
      <c r="AN872" t="s">
        <v>831</v>
      </c>
      <c r="AO872" t="s">
        <v>832</v>
      </c>
      <c r="AP872">
        <v>0.58399999999999996</v>
      </c>
      <c r="AQ872" t="s">
        <v>69</v>
      </c>
      <c r="AR872">
        <v>63</v>
      </c>
      <c r="AS872">
        <v>10</v>
      </c>
      <c r="AT872">
        <v>2.281E-2</v>
      </c>
      <c r="AU872">
        <v>-3.3899999999999998E-3</v>
      </c>
      <c r="AV872">
        <v>9.6420000000000006E-2</v>
      </c>
      <c r="AW872">
        <v>-1.512E-2</v>
      </c>
      <c r="AX872">
        <v>3.8600000000000001E-3</v>
      </c>
      <c r="AY872">
        <v>-5.9999999999999995E-4</v>
      </c>
      <c r="AZ872">
        <v>3.9989999999999998E-2</v>
      </c>
      <c r="BA872">
        <v>1</v>
      </c>
      <c r="BB872" t="s">
        <v>70</v>
      </c>
      <c r="BC872">
        <v>0.57099999999999995</v>
      </c>
      <c r="BD872">
        <v>0.45500000000000002</v>
      </c>
      <c r="BE872" t="s">
        <v>71</v>
      </c>
    </row>
    <row r="873" spans="1:57">
      <c r="A873">
        <v>647</v>
      </c>
      <c r="B873" t="s">
        <v>828</v>
      </c>
      <c r="D873" t="s">
        <v>60</v>
      </c>
      <c r="E873" t="s">
        <v>829</v>
      </c>
      <c r="F873" t="s">
        <v>830</v>
      </c>
      <c r="G873">
        <v>513</v>
      </c>
      <c r="H873" t="s">
        <v>63</v>
      </c>
      <c r="I873">
        <v>5</v>
      </c>
      <c r="J873" t="str">
        <f>HYPERLINK("Gene647-zp_tree_all.dnd", "Gene647-tree")</f>
        <v>Gene647-tree</v>
      </c>
      <c r="K873">
        <v>2</v>
      </c>
      <c r="L873">
        <v>3</v>
      </c>
      <c r="M873">
        <v>2</v>
      </c>
      <c r="N873">
        <v>3</v>
      </c>
      <c r="O873">
        <v>0.6</v>
      </c>
      <c r="P873" t="s">
        <v>124</v>
      </c>
      <c r="Q873" t="s">
        <v>86</v>
      </c>
      <c r="R873" t="s">
        <v>66</v>
      </c>
      <c r="S873" t="s">
        <v>66</v>
      </c>
      <c r="T873">
        <v>1</v>
      </c>
      <c r="U873">
        <v>2</v>
      </c>
      <c r="V873">
        <v>8</v>
      </c>
      <c r="W873">
        <v>0.2</v>
      </c>
      <c r="X873">
        <v>0</v>
      </c>
      <c r="Y873">
        <v>0</v>
      </c>
      <c r="Z873">
        <v>0</v>
      </c>
      <c r="AA873">
        <v>4</v>
      </c>
      <c r="AB873">
        <v>0</v>
      </c>
      <c r="AC873">
        <v>2</v>
      </c>
      <c r="AD873">
        <v>0</v>
      </c>
      <c r="AE873">
        <v>2</v>
      </c>
      <c r="AF873">
        <v>4</v>
      </c>
      <c r="AG873">
        <v>0.33333000000000002</v>
      </c>
      <c r="AH873">
        <v>5</v>
      </c>
      <c r="AI873">
        <v>2</v>
      </c>
      <c r="AJ873">
        <v>29</v>
      </c>
      <c r="AK873">
        <v>6</v>
      </c>
      <c r="AL873">
        <v>34</v>
      </c>
      <c r="AM873">
        <v>4</v>
      </c>
      <c r="AN873" t="s">
        <v>831</v>
      </c>
      <c r="AO873" t="s">
        <v>832</v>
      </c>
      <c r="AP873">
        <v>0.58399999999999996</v>
      </c>
      <c r="AQ873" t="s">
        <v>69</v>
      </c>
      <c r="AR873">
        <v>63</v>
      </c>
      <c r="AS873">
        <v>10</v>
      </c>
      <c r="AT873">
        <v>2.281E-2</v>
      </c>
      <c r="AU873">
        <v>-3.3899999999999998E-3</v>
      </c>
      <c r="AV873">
        <v>9.6420000000000006E-2</v>
      </c>
      <c r="AW873">
        <v>-1.512E-2</v>
      </c>
      <c r="AX873">
        <v>3.8600000000000001E-3</v>
      </c>
      <c r="AY873">
        <v>-5.9999999999999995E-4</v>
      </c>
      <c r="AZ873">
        <v>3.9989999999999998E-2</v>
      </c>
      <c r="BA873">
        <v>1</v>
      </c>
      <c r="BB873" t="s">
        <v>70</v>
      </c>
      <c r="BC873">
        <v>0.57099999999999995</v>
      </c>
      <c r="BD873">
        <v>0.45500000000000002</v>
      </c>
      <c r="BE873" t="s">
        <v>71</v>
      </c>
    </row>
    <row r="874" spans="1:57">
      <c r="A874">
        <v>655</v>
      </c>
      <c r="B874" t="s">
        <v>853</v>
      </c>
      <c r="D874" t="s">
        <v>60</v>
      </c>
      <c r="E874" t="s">
        <v>854</v>
      </c>
      <c r="F874" t="s">
        <v>855</v>
      </c>
      <c r="G874">
        <v>431</v>
      </c>
      <c r="H874" t="s">
        <v>63</v>
      </c>
      <c r="I874">
        <v>5</v>
      </c>
      <c r="J874" t="str">
        <f>HYPERLINK("Gene655-zp_tree_all.dnd", "Gene655-tree")</f>
        <v>Gene655-tree</v>
      </c>
      <c r="K874">
        <v>3</v>
      </c>
      <c r="L874">
        <v>2</v>
      </c>
      <c r="M874">
        <v>3</v>
      </c>
      <c r="N874">
        <v>2</v>
      </c>
      <c r="O874">
        <v>0.4</v>
      </c>
      <c r="P874" t="s">
        <v>86</v>
      </c>
      <c r="Q874" t="s">
        <v>124</v>
      </c>
      <c r="R874" t="s">
        <v>66</v>
      </c>
      <c r="S874" t="s">
        <v>66</v>
      </c>
      <c r="T874">
        <v>1</v>
      </c>
      <c r="U874">
        <v>2</v>
      </c>
      <c r="V874">
        <v>3</v>
      </c>
      <c r="W874">
        <v>0.4</v>
      </c>
      <c r="X874">
        <v>0</v>
      </c>
      <c r="Y874">
        <v>0</v>
      </c>
      <c r="Z874">
        <v>0</v>
      </c>
      <c r="AA874">
        <v>2</v>
      </c>
      <c r="AB874">
        <v>0</v>
      </c>
      <c r="AC874">
        <v>2</v>
      </c>
      <c r="AD874">
        <v>0</v>
      </c>
      <c r="AE874">
        <v>2</v>
      </c>
      <c r="AF874">
        <v>1</v>
      </c>
      <c r="AG874">
        <v>0.66666999999999998</v>
      </c>
      <c r="AH874">
        <v>5</v>
      </c>
      <c r="AI874">
        <v>2</v>
      </c>
      <c r="AJ874">
        <v>44</v>
      </c>
      <c r="AK874">
        <v>3</v>
      </c>
      <c r="AL874">
        <v>45</v>
      </c>
      <c r="AM874">
        <v>2</v>
      </c>
      <c r="AN874" t="s">
        <v>856</v>
      </c>
      <c r="AO874" t="s">
        <v>857</v>
      </c>
      <c r="AP874">
        <v>0.42299999999999999</v>
      </c>
      <c r="AQ874" t="s">
        <v>69</v>
      </c>
      <c r="AR874">
        <v>89</v>
      </c>
      <c r="AS874">
        <v>5</v>
      </c>
      <c r="AT874">
        <v>3.4029999999999998E-2</v>
      </c>
      <c r="AU874">
        <v>-4.4200000000000003E-3</v>
      </c>
      <c r="AV874">
        <v>0.16206000000000001</v>
      </c>
      <c r="AW874">
        <v>-2.2769999999999999E-2</v>
      </c>
      <c r="AX874">
        <v>2.2000000000000001E-3</v>
      </c>
      <c r="AY874">
        <v>-3.1E-4</v>
      </c>
      <c r="AZ874">
        <v>1.359E-2</v>
      </c>
      <c r="BA874">
        <v>1</v>
      </c>
      <c r="BB874" t="s">
        <v>70</v>
      </c>
      <c r="BC874">
        <v>0.89500000000000002</v>
      </c>
      <c r="BD874">
        <v>0.432</v>
      </c>
      <c r="BE874" t="s">
        <v>71</v>
      </c>
    </row>
    <row r="875" spans="1:57">
      <c r="A875">
        <v>655</v>
      </c>
      <c r="B875" t="s">
        <v>853</v>
      </c>
      <c r="D875" t="s">
        <v>60</v>
      </c>
      <c r="E875" t="s">
        <v>854</v>
      </c>
      <c r="F875" t="s">
        <v>855</v>
      </c>
      <c r="G875">
        <v>431</v>
      </c>
      <c r="H875" t="s">
        <v>63</v>
      </c>
      <c r="I875">
        <v>5</v>
      </c>
      <c r="J875" t="str">
        <f>HYPERLINK("Gene655-zp_tree_all.dnd", "Gene655-tree")</f>
        <v>Gene655-tree</v>
      </c>
      <c r="K875">
        <v>3</v>
      </c>
      <c r="L875">
        <v>2</v>
      </c>
      <c r="M875">
        <v>3</v>
      </c>
      <c r="N875">
        <v>2</v>
      </c>
      <c r="O875">
        <v>0.4</v>
      </c>
      <c r="P875" t="s">
        <v>86</v>
      </c>
      <c r="Q875" t="s">
        <v>124</v>
      </c>
      <c r="R875" t="s">
        <v>66</v>
      </c>
      <c r="S875" t="s">
        <v>66</v>
      </c>
      <c r="T875">
        <v>1</v>
      </c>
      <c r="U875">
        <v>2</v>
      </c>
      <c r="V875">
        <v>3</v>
      </c>
      <c r="W875">
        <v>0.4</v>
      </c>
      <c r="X875">
        <v>0</v>
      </c>
      <c r="Y875">
        <v>0</v>
      </c>
      <c r="Z875">
        <v>0</v>
      </c>
      <c r="AA875">
        <v>2</v>
      </c>
      <c r="AB875">
        <v>0</v>
      </c>
      <c r="AC875">
        <v>2</v>
      </c>
      <c r="AD875">
        <v>0</v>
      </c>
      <c r="AE875">
        <v>2</v>
      </c>
      <c r="AF875">
        <v>1</v>
      </c>
      <c r="AG875">
        <v>0.66666999999999998</v>
      </c>
      <c r="AH875">
        <v>5</v>
      </c>
      <c r="AI875">
        <v>2</v>
      </c>
      <c r="AJ875">
        <v>44</v>
      </c>
      <c r="AK875">
        <v>3</v>
      </c>
      <c r="AL875">
        <v>45</v>
      </c>
      <c r="AM875">
        <v>2</v>
      </c>
      <c r="AN875" t="s">
        <v>856</v>
      </c>
      <c r="AO875" t="s">
        <v>857</v>
      </c>
      <c r="AP875">
        <v>0.42299999999999999</v>
      </c>
      <c r="AQ875" t="s">
        <v>69</v>
      </c>
      <c r="AR875">
        <v>89</v>
      </c>
      <c r="AS875">
        <v>5</v>
      </c>
      <c r="AT875">
        <v>3.4029999999999998E-2</v>
      </c>
      <c r="AU875">
        <v>-4.4200000000000003E-3</v>
      </c>
      <c r="AV875">
        <v>0.16206000000000001</v>
      </c>
      <c r="AW875">
        <v>-2.2769999999999999E-2</v>
      </c>
      <c r="AX875">
        <v>2.2000000000000001E-3</v>
      </c>
      <c r="AY875">
        <v>-3.1E-4</v>
      </c>
      <c r="AZ875">
        <v>1.359E-2</v>
      </c>
      <c r="BA875">
        <v>1</v>
      </c>
      <c r="BB875" t="s">
        <v>70</v>
      </c>
      <c r="BC875">
        <v>0.89500000000000002</v>
      </c>
      <c r="BD875">
        <v>0.432</v>
      </c>
      <c r="BE875" t="s">
        <v>71</v>
      </c>
    </row>
    <row r="876" spans="1:57">
      <c r="A876">
        <v>656</v>
      </c>
      <c r="B876" t="s">
        <v>858</v>
      </c>
      <c r="D876" t="s">
        <v>60</v>
      </c>
      <c r="E876" t="s">
        <v>859</v>
      </c>
      <c r="F876" t="s">
        <v>860</v>
      </c>
      <c r="G876">
        <v>241</v>
      </c>
      <c r="H876" t="s">
        <v>85</v>
      </c>
      <c r="I876">
        <v>4</v>
      </c>
      <c r="J876" t="str">
        <f>HYPERLINK("Gene656-zp_tree_all.dnd", "Gene656-tree")</f>
        <v>Gene656-tree</v>
      </c>
      <c r="K876">
        <v>0</v>
      </c>
      <c r="L876">
        <v>4</v>
      </c>
      <c r="M876">
        <v>0</v>
      </c>
      <c r="N876">
        <v>4</v>
      </c>
      <c r="O876">
        <v>1</v>
      </c>
      <c r="P876" t="s">
        <v>66</v>
      </c>
      <c r="Q876" t="s">
        <v>64</v>
      </c>
      <c r="R876" t="s">
        <v>66</v>
      </c>
      <c r="S876" t="s">
        <v>66</v>
      </c>
      <c r="T876">
        <v>1</v>
      </c>
      <c r="U876">
        <v>2</v>
      </c>
      <c r="V876">
        <v>7</v>
      </c>
      <c r="W876">
        <v>0.22222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2</v>
      </c>
      <c r="AD876">
        <v>0</v>
      </c>
      <c r="AE876">
        <v>2</v>
      </c>
      <c r="AF876">
        <v>7</v>
      </c>
      <c r="AG876">
        <v>0.22222</v>
      </c>
      <c r="AH876">
        <v>4</v>
      </c>
      <c r="AI876">
        <v>1</v>
      </c>
      <c r="AJ876">
        <v>37</v>
      </c>
      <c r="AK876">
        <v>10</v>
      </c>
      <c r="AL876">
        <v>5</v>
      </c>
      <c r="AM876">
        <v>1</v>
      </c>
      <c r="AN876" t="s">
        <v>861</v>
      </c>
      <c r="AO876" t="s">
        <v>862</v>
      </c>
      <c r="AP876">
        <v>0.55400000000000005</v>
      </c>
      <c r="AQ876" t="s">
        <v>69</v>
      </c>
      <c r="AR876">
        <v>42</v>
      </c>
      <c r="AS876">
        <v>11</v>
      </c>
      <c r="AT876">
        <v>3.5729999999999998E-2</v>
      </c>
      <c r="AU876">
        <v>-5.2300000000000003E-3</v>
      </c>
      <c r="AV876">
        <v>0.14581</v>
      </c>
      <c r="AW876">
        <v>-2.6960000000000001E-2</v>
      </c>
      <c r="AX876">
        <v>9.4999999999999998E-3</v>
      </c>
      <c r="AY876">
        <v>-9.1E-4</v>
      </c>
      <c r="AZ876">
        <v>6.5129999999999993E-2</v>
      </c>
      <c r="BA876">
        <v>1</v>
      </c>
      <c r="BB876" t="s">
        <v>70</v>
      </c>
      <c r="BC876">
        <v>-0.13800000000000001</v>
      </c>
      <c r="BD876">
        <v>-0.33700000000000002</v>
      </c>
      <c r="BE876" t="s">
        <v>71</v>
      </c>
    </row>
    <row r="877" spans="1:57">
      <c r="A877">
        <v>1159</v>
      </c>
      <c r="B877" t="s">
        <v>1227</v>
      </c>
      <c r="D877" t="s">
        <v>60</v>
      </c>
      <c r="E877" t="s">
        <v>1228</v>
      </c>
      <c r="F877" t="s">
        <v>1229</v>
      </c>
      <c r="G877">
        <v>131</v>
      </c>
      <c r="H877" t="s">
        <v>63</v>
      </c>
      <c r="I877">
        <v>5</v>
      </c>
      <c r="J877" t="str">
        <f>HYPERLINK("Gene1159-zp_tree_all.dnd", "Gene1159-tree")</f>
        <v>Gene1159-tree</v>
      </c>
      <c r="K877">
        <v>3</v>
      </c>
      <c r="L877">
        <v>2</v>
      </c>
      <c r="M877">
        <v>3</v>
      </c>
      <c r="N877">
        <v>2</v>
      </c>
      <c r="O877">
        <v>0.4</v>
      </c>
      <c r="P877" t="s">
        <v>86</v>
      </c>
      <c r="Q877" t="s">
        <v>124</v>
      </c>
      <c r="R877" t="s">
        <v>66</v>
      </c>
      <c r="S877" t="s">
        <v>66</v>
      </c>
      <c r="T877">
        <v>1</v>
      </c>
      <c r="U877">
        <v>2</v>
      </c>
      <c r="V877">
        <v>1</v>
      </c>
      <c r="W877">
        <v>0.66666999999999998</v>
      </c>
      <c r="X877">
        <v>0</v>
      </c>
      <c r="Y877">
        <v>0</v>
      </c>
      <c r="Z877">
        <v>0</v>
      </c>
      <c r="AA877">
        <v>1</v>
      </c>
      <c r="AB877">
        <v>0</v>
      </c>
      <c r="AC877">
        <v>2</v>
      </c>
      <c r="AD877">
        <v>0</v>
      </c>
      <c r="AE877">
        <v>2</v>
      </c>
      <c r="AF877">
        <v>0</v>
      </c>
      <c r="AG877">
        <v>1</v>
      </c>
      <c r="AH877">
        <v>3</v>
      </c>
      <c r="AI877">
        <v>2</v>
      </c>
      <c r="AJ877">
        <v>7</v>
      </c>
      <c r="AK877">
        <v>1</v>
      </c>
      <c r="AL877">
        <v>5</v>
      </c>
      <c r="AM877">
        <v>2</v>
      </c>
      <c r="AN877" t="s">
        <v>1230</v>
      </c>
      <c r="AO877" t="s">
        <v>1231</v>
      </c>
      <c r="AP877">
        <v>1.2849999999999999</v>
      </c>
      <c r="AQ877" t="s">
        <v>69</v>
      </c>
      <c r="AR877">
        <v>12</v>
      </c>
      <c r="AS877">
        <v>3</v>
      </c>
      <c r="AT877">
        <v>1.7809999999999999E-2</v>
      </c>
      <c r="AU877">
        <v>-2.49E-3</v>
      </c>
      <c r="AV877">
        <v>7.0000000000000007E-2</v>
      </c>
      <c r="AW877">
        <v>-1.09E-2</v>
      </c>
      <c r="AX877">
        <v>3.9399999999999999E-3</v>
      </c>
      <c r="AY877">
        <v>-6.2E-4</v>
      </c>
      <c r="AZ877">
        <v>5.6340000000000001E-2</v>
      </c>
      <c r="BA877">
        <v>1</v>
      </c>
      <c r="BB877" t="s">
        <v>70</v>
      </c>
      <c r="BC877">
        <v>0.30399999999999999</v>
      </c>
      <c r="BD877">
        <v>0.30399999999999999</v>
      </c>
      <c r="BE877" t="s">
        <v>71</v>
      </c>
    </row>
    <row r="878" spans="1:57">
      <c r="A878">
        <v>1527</v>
      </c>
      <c r="B878" t="s">
        <v>1534</v>
      </c>
      <c r="D878" t="s">
        <v>60</v>
      </c>
      <c r="E878" t="s">
        <v>1535</v>
      </c>
      <c r="F878" t="s">
        <v>74</v>
      </c>
      <c r="G878">
        <v>132</v>
      </c>
      <c r="H878" t="s">
        <v>63</v>
      </c>
      <c r="I878">
        <v>5</v>
      </c>
      <c r="J878" t="str">
        <f>HYPERLINK("Gene1527-zp_tree_all.dnd", "Gene1527-tree")</f>
        <v>Gene1527-tree</v>
      </c>
      <c r="K878">
        <v>1</v>
      </c>
      <c r="L878">
        <v>4</v>
      </c>
      <c r="M878">
        <v>1</v>
      </c>
      <c r="N878">
        <v>4</v>
      </c>
      <c r="O878">
        <v>0.8</v>
      </c>
      <c r="P878" t="s">
        <v>65</v>
      </c>
      <c r="Q878" t="s">
        <v>64</v>
      </c>
      <c r="R878" t="s">
        <v>66</v>
      </c>
      <c r="S878" t="s">
        <v>66</v>
      </c>
      <c r="T878">
        <v>1</v>
      </c>
      <c r="U878">
        <v>2</v>
      </c>
      <c r="V878">
        <v>5</v>
      </c>
      <c r="W878">
        <v>0.28571000000000002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2</v>
      </c>
      <c r="AD878">
        <v>0</v>
      </c>
      <c r="AE878">
        <v>2</v>
      </c>
      <c r="AF878">
        <v>5</v>
      </c>
      <c r="AG878">
        <v>0.28571000000000002</v>
      </c>
      <c r="AH878">
        <v>5</v>
      </c>
      <c r="AI878">
        <v>2</v>
      </c>
      <c r="AJ878">
        <v>6</v>
      </c>
      <c r="AK878">
        <v>5</v>
      </c>
      <c r="AL878">
        <v>8</v>
      </c>
      <c r="AM878">
        <v>3</v>
      </c>
      <c r="AN878" t="s">
        <v>1536</v>
      </c>
      <c r="AO878" t="s">
        <v>1537</v>
      </c>
      <c r="AP878">
        <v>0.94599999999999995</v>
      </c>
      <c r="AQ878" t="s">
        <v>69</v>
      </c>
      <c r="AR878">
        <v>14</v>
      </c>
      <c r="AS878">
        <v>8</v>
      </c>
      <c r="AT878">
        <v>2.6259999999999999E-2</v>
      </c>
      <c r="AU878">
        <v>-4.4200000000000003E-3</v>
      </c>
      <c r="AV878">
        <v>9.5449999999999993E-2</v>
      </c>
      <c r="AW878">
        <v>-1.6549999999999999E-2</v>
      </c>
      <c r="AX878">
        <v>1.141E-2</v>
      </c>
      <c r="AY878">
        <v>-2.1199999999999999E-3</v>
      </c>
      <c r="AZ878">
        <v>0.11953999999999999</v>
      </c>
      <c r="BA878">
        <v>1</v>
      </c>
      <c r="BB878" t="s">
        <v>70</v>
      </c>
      <c r="BC878">
        <v>1.036</v>
      </c>
      <c r="BD878">
        <v>0.22700000000000001</v>
      </c>
      <c r="BE878" t="s">
        <v>71</v>
      </c>
    </row>
    <row r="879" spans="1:57">
      <c r="A879">
        <v>1531</v>
      </c>
      <c r="B879" t="s">
        <v>1548</v>
      </c>
      <c r="D879" t="s">
        <v>60</v>
      </c>
      <c r="E879" t="s">
        <v>1549</v>
      </c>
      <c r="F879" t="s">
        <v>1550</v>
      </c>
      <c r="G879">
        <v>184</v>
      </c>
      <c r="H879" t="s">
        <v>63</v>
      </c>
      <c r="I879">
        <v>5</v>
      </c>
      <c r="J879" t="str">
        <f>HYPERLINK("Gene1531-zp_tree_all.dnd", "Gene1531-tree")</f>
        <v>Gene1531-tree</v>
      </c>
      <c r="K879">
        <v>0</v>
      </c>
      <c r="L879">
        <v>5</v>
      </c>
      <c r="M879">
        <v>0</v>
      </c>
      <c r="N879">
        <v>5</v>
      </c>
      <c r="O879">
        <v>1</v>
      </c>
      <c r="P879" t="s">
        <v>66</v>
      </c>
      <c r="Q879" t="s">
        <v>96</v>
      </c>
      <c r="R879" t="s">
        <v>66</v>
      </c>
      <c r="S879" t="s">
        <v>66</v>
      </c>
      <c r="T879">
        <v>2</v>
      </c>
      <c r="U879">
        <v>4</v>
      </c>
      <c r="V879">
        <v>8</v>
      </c>
      <c r="W879">
        <v>0.33333000000000002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2</v>
      </c>
      <c r="AD879">
        <v>2</v>
      </c>
      <c r="AE879">
        <v>4</v>
      </c>
      <c r="AF879">
        <v>8</v>
      </c>
      <c r="AG879">
        <v>0.33333000000000002</v>
      </c>
      <c r="AH879">
        <v>5</v>
      </c>
      <c r="AI879">
        <v>2</v>
      </c>
      <c r="AJ879">
        <v>16</v>
      </c>
      <c r="AK879">
        <v>12</v>
      </c>
      <c r="AL879">
        <v>17</v>
      </c>
      <c r="AM879">
        <v>1</v>
      </c>
      <c r="AN879" t="s">
        <v>1551</v>
      </c>
      <c r="AO879" t="s">
        <v>1552</v>
      </c>
      <c r="AP879">
        <v>3.0710000000000002</v>
      </c>
      <c r="AQ879" t="s">
        <v>239</v>
      </c>
      <c r="AR879">
        <v>33</v>
      </c>
      <c r="AS879">
        <v>13</v>
      </c>
      <c r="AT879">
        <v>3.7859999999999998E-2</v>
      </c>
      <c r="AU879">
        <v>-5.1999999999999998E-3</v>
      </c>
      <c r="AV879">
        <v>0.13489000000000001</v>
      </c>
      <c r="AW879">
        <v>-2.3740000000000001E-2</v>
      </c>
      <c r="AX879">
        <v>1.244E-2</v>
      </c>
      <c r="AY879">
        <v>-8.1999999999999998E-4</v>
      </c>
      <c r="AZ879">
        <v>9.2259999999999995E-2</v>
      </c>
      <c r="BA879">
        <v>1</v>
      </c>
      <c r="BB879" t="s">
        <v>70</v>
      </c>
      <c r="BC879">
        <v>0.46600000000000003</v>
      </c>
      <c r="BD879">
        <v>-0.107</v>
      </c>
      <c r="BE879" t="s">
        <v>71</v>
      </c>
    </row>
    <row r="880" spans="1:57">
      <c r="A880">
        <v>1550</v>
      </c>
      <c r="B880" t="s">
        <v>1586</v>
      </c>
      <c r="D880" t="s">
        <v>60</v>
      </c>
      <c r="E880" t="s">
        <v>1587</v>
      </c>
      <c r="F880" t="s">
        <v>1588</v>
      </c>
      <c r="G880">
        <v>324</v>
      </c>
      <c r="H880" t="s">
        <v>63</v>
      </c>
      <c r="I880">
        <v>5</v>
      </c>
      <c r="J880" t="str">
        <f>HYPERLINK("Gene1550-zp_tree_all.dnd", "Gene1550-tree")</f>
        <v>Gene1550-tree</v>
      </c>
      <c r="K880">
        <v>2</v>
      </c>
      <c r="L880">
        <v>3</v>
      </c>
      <c r="M880">
        <v>2</v>
      </c>
      <c r="N880">
        <v>3</v>
      </c>
      <c r="O880">
        <v>0.6</v>
      </c>
      <c r="P880" t="s">
        <v>124</v>
      </c>
      <c r="Q880" t="s">
        <v>86</v>
      </c>
      <c r="R880" t="s">
        <v>66</v>
      </c>
      <c r="S880" t="s">
        <v>66</v>
      </c>
      <c r="T880">
        <v>1</v>
      </c>
      <c r="U880">
        <v>2</v>
      </c>
      <c r="V880">
        <v>3</v>
      </c>
      <c r="W880">
        <v>0.4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2</v>
      </c>
      <c r="AD880">
        <v>0</v>
      </c>
      <c r="AE880">
        <v>2</v>
      </c>
      <c r="AF880">
        <v>3</v>
      </c>
      <c r="AG880">
        <v>0.4</v>
      </c>
      <c r="AH880">
        <v>5</v>
      </c>
      <c r="AI880">
        <v>2</v>
      </c>
      <c r="AJ880">
        <v>22</v>
      </c>
      <c r="AK880">
        <v>3</v>
      </c>
      <c r="AL880">
        <v>28</v>
      </c>
      <c r="AM880">
        <v>2</v>
      </c>
      <c r="AN880" t="s">
        <v>1589</v>
      </c>
      <c r="AO880" t="s">
        <v>1590</v>
      </c>
      <c r="AP880">
        <v>1.099</v>
      </c>
      <c r="AQ880" t="s">
        <v>69</v>
      </c>
      <c r="AR880">
        <v>50</v>
      </c>
      <c r="AS880">
        <v>5</v>
      </c>
      <c r="AT880">
        <v>2.726E-2</v>
      </c>
      <c r="AU880">
        <v>-4.2199999999999998E-3</v>
      </c>
      <c r="AV880">
        <v>0.11253000000000001</v>
      </c>
      <c r="AW880">
        <v>-1.8880000000000001E-2</v>
      </c>
      <c r="AX880">
        <v>2.7399999999999998E-3</v>
      </c>
      <c r="AY880">
        <v>-4.2999999999999999E-4</v>
      </c>
      <c r="AZ880">
        <v>2.4309999999999998E-2</v>
      </c>
      <c r="BA880">
        <v>1</v>
      </c>
      <c r="BB880" t="s">
        <v>70</v>
      </c>
      <c r="BC880">
        <v>0.623</v>
      </c>
      <c r="BD880">
        <v>0.46899999999999997</v>
      </c>
      <c r="BE880" t="s">
        <v>71</v>
      </c>
    </row>
    <row r="881" spans="1:57">
      <c r="A881">
        <v>1592</v>
      </c>
      <c r="B881" t="s">
        <v>1673</v>
      </c>
      <c r="D881" t="s">
        <v>60</v>
      </c>
      <c r="E881" t="s">
        <v>1674</v>
      </c>
      <c r="F881" t="s">
        <v>1675</v>
      </c>
      <c r="G881">
        <v>257</v>
      </c>
      <c r="H881" t="s">
        <v>63</v>
      </c>
      <c r="I881">
        <v>5</v>
      </c>
      <c r="J881" t="str">
        <f>HYPERLINK("Gene1592-zp_tree_all.dnd", "Gene1592-tree")</f>
        <v>Gene1592-tree</v>
      </c>
      <c r="K881">
        <v>0</v>
      </c>
      <c r="L881">
        <v>5</v>
      </c>
      <c r="M881">
        <v>0</v>
      </c>
      <c r="N881">
        <v>5</v>
      </c>
      <c r="O881">
        <v>1</v>
      </c>
      <c r="P881" t="s">
        <v>66</v>
      </c>
      <c r="Q881" t="s">
        <v>96</v>
      </c>
      <c r="R881" t="s">
        <v>66</v>
      </c>
      <c r="S881" t="s">
        <v>66</v>
      </c>
      <c r="T881">
        <v>1</v>
      </c>
      <c r="U881">
        <v>2</v>
      </c>
      <c r="V881">
        <v>9</v>
      </c>
      <c r="W881">
        <v>0.18182000000000001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2</v>
      </c>
      <c r="AD881">
        <v>0</v>
      </c>
      <c r="AE881">
        <v>2</v>
      </c>
      <c r="AF881">
        <v>9</v>
      </c>
      <c r="AG881">
        <v>0.18182000000000001</v>
      </c>
      <c r="AH881">
        <v>5</v>
      </c>
      <c r="AI881">
        <v>2</v>
      </c>
      <c r="AJ881">
        <v>35</v>
      </c>
      <c r="AK881">
        <v>9</v>
      </c>
      <c r="AL881">
        <v>11</v>
      </c>
      <c r="AM881">
        <v>3</v>
      </c>
      <c r="AN881" t="s">
        <v>1676</v>
      </c>
      <c r="AO881" t="s">
        <v>1677</v>
      </c>
      <c r="AP881">
        <v>0.48099999999999998</v>
      </c>
      <c r="AQ881" t="s">
        <v>69</v>
      </c>
      <c r="AR881">
        <v>46</v>
      </c>
      <c r="AS881">
        <v>12</v>
      </c>
      <c r="AT881">
        <v>3.1260000000000003E-2</v>
      </c>
      <c r="AU881">
        <v>-1.81E-3</v>
      </c>
      <c r="AV881">
        <v>0.11513</v>
      </c>
      <c r="AW881">
        <v>-6.9199999999999999E-3</v>
      </c>
      <c r="AX881">
        <v>8.8199999999999997E-3</v>
      </c>
      <c r="AY881">
        <v>-9.6000000000000002E-4</v>
      </c>
      <c r="AZ881">
        <v>7.6600000000000001E-2</v>
      </c>
      <c r="BA881">
        <v>1</v>
      </c>
      <c r="BB881" t="s">
        <v>70</v>
      </c>
      <c r="BC881">
        <v>-0.11700000000000001</v>
      </c>
      <c r="BD881">
        <v>-0.39500000000000002</v>
      </c>
      <c r="BE881" t="s">
        <v>71</v>
      </c>
    </row>
    <row r="882" spans="1:57">
      <c r="A882">
        <v>1695</v>
      </c>
      <c r="B882" t="s">
        <v>1891</v>
      </c>
      <c r="D882" t="s">
        <v>60</v>
      </c>
      <c r="E882" t="s">
        <v>1892</v>
      </c>
      <c r="F882" t="s">
        <v>1893</v>
      </c>
      <c r="G882">
        <v>716</v>
      </c>
      <c r="H882" t="s">
        <v>63</v>
      </c>
      <c r="I882">
        <v>5</v>
      </c>
      <c r="J882" t="str">
        <f>HYPERLINK("Gene1695-zp_tree_all.dnd", "Gene1695-tree")</f>
        <v>Gene1695-tree</v>
      </c>
      <c r="K882">
        <v>1</v>
      </c>
      <c r="L882">
        <v>4</v>
      </c>
      <c r="M882">
        <v>1</v>
      </c>
      <c r="N882">
        <v>4</v>
      </c>
      <c r="O882">
        <v>0.8</v>
      </c>
      <c r="P882" t="s">
        <v>65</v>
      </c>
      <c r="Q882" t="s">
        <v>64</v>
      </c>
      <c r="R882" t="s">
        <v>66</v>
      </c>
      <c r="S882" t="s">
        <v>66</v>
      </c>
      <c r="T882">
        <v>1</v>
      </c>
      <c r="U882">
        <v>2</v>
      </c>
      <c r="V882">
        <v>6</v>
      </c>
      <c r="W882">
        <v>0.25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2</v>
      </c>
      <c r="AD882">
        <v>0</v>
      </c>
      <c r="AE882">
        <v>2</v>
      </c>
      <c r="AF882">
        <v>6</v>
      </c>
      <c r="AG882">
        <v>0.25</v>
      </c>
      <c r="AH882">
        <v>5</v>
      </c>
      <c r="AI882">
        <v>2</v>
      </c>
      <c r="AJ882">
        <v>49</v>
      </c>
      <c r="AK882">
        <v>4</v>
      </c>
      <c r="AL882">
        <v>56</v>
      </c>
      <c r="AM882">
        <v>4</v>
      </c>
      <c r="AN882" t="s">
        <v>1894</v>
      </c>
      <c r="AO882" t="s">
        <v>1895</v>
      </c>
      <c r="AP882">
        <v>0.154</v>
      </c>
      <c r="AQ882" t="s">
        <v>69</v>
      </c>
      <c r="AR882">
        <v>105</v>
      </c>
      <c r="AS882">
        <v>8</v>
      </c>
      <c r="AT882">
        <v>2.5999999999999999E-2</v>
      </c>
      <c r="AU882">
        <v>-4.5199999999999997E-3</v>
      </c>
      <c r="AV882">
        <v>0.11869</v>
      </c>
      <c r="AW882">
        <v>-2.155E-2</v>
      </c>
      <c r="AX882">
        <v>2.3E-3</v>
      </c>
      <c r="AY882">
        <v>-3.8000000000000002E-4</v>
      </c>
      <c r="AZ882">
        <v>1.9359999999999999E-2</v>
      </c>
      <c r="BA882">
        <v>1</v>
      </c>
      <c r="BB882" t="s">
        <v>70</v>
      </c>
      <c r="BC882">
        <v>0.64200000000000002</v>
      </c>
      <c r="BD882">
        <v>0.56799999999999995</v>
      </c>
      <c r="BE882" t="s">
        <v>71</v>
      </c>
    </row>
    <row r="883" spans="1:57">
      <c r="A883">
        <v>1787</v>
      </c>
      <c r="B883" t="s">
        <v>1998</v>
      </c>
      <c r="D883" t="s">
        <v>60</v>
      </c>
      <c r="E883" t="s">
        <v>1999</v>
      </c>
      <c r="F883" t="s">
        <v>1286</v>
      </c>
      <c r="G883">
        <v>463</v>
      </c>
      <c r="H883" t="s">
        <v>85</v>
      </c>
      <c r="I883">
        <v>4</v>
      </c>
      <c r="J883" t="str">
        <f>HYPERLINK("Gene1787-zp_tree_all.dnd", "Gene1787-tree")</f>
        <v>Gene1787-tree</v>
      </c>
      <c r="K883">
        <v>1</v>
      </c>
      <c r="L883">
        <v>3</v>
      </c>
      <c r="M883">
        <v>1</v>
      </c>
      <c r="N883">
        <v>3</v>
      </c>
      <c r="O883">
        <v>0.75</v>
      </c>
      <c r="P883" t="s">
        <v>65</v>
      </c>
      <c r="Q883" t="s">
        <v>86</v>
      </c>
      <c r="R883" t="s">
        <v>66</v>
      </c>
      <c r="S883" t="s">
        <v>66</v>
      </c>
      <c r="T883">
        <v>1</v>
      </c>
      <c r="U883">
        <v>2</v>
      </c>
      <c r="V883">
        <v>15</v>
      </c>
      <c r="W883">
        <v>0.11765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2</v>
      </c>
      <c r="AD883">
        <v>0</v>
      </c>
      <c r="AE883">
        <v>2</v>
      </c>
      <c r="AF883">
        <v>15</v>
      </c>
      <c r="AG883">
        <v>0.11765</v>
      </c>
      <c r="AH883">
        <v>4</v>
      </c>
      <c r="AI883">
        <v>1</v>
      </c>
      <c r="AJ883">
        <v>59</v>
      </c>
      <c r="AK883">
        <v>16</v>
      </c>
      <c r="AL883">
        <v>10</v>
      </c>
      <c r="AM883">
        <v>1</v>
      </c>
      <c r="AN883" t="s">
        <v>2000</v>
      </c>
      <c r="AO883" t="s">
        <v>2001</v>
      </c>
      <c r="AP883">
        <v>0.56100000000000005</v>
      </c>
      <c r="AQ883" t="s">
        <v>69</v>
      </c>
      <c r="AR883">
        <v>69</v>
      </c>
      <c r="AS883">
        <v>17</v>
      </c>
      <c r="AT883">
        <v>3.1559999999999998E-2</v>
      </c>
      <c r="AU883">
        <v>-6.6899999999999998E-3</v>
      </c>
      <c r="AV883">
        <v>0.11817</v>
      </c>
      <c r="AW883">
        <v>-2.5360000000000001E-2</v>
      </c>
      <c r="AX883">
        <v>7.9399999999999991E-3</v>
      </c>
      <c r="AY883">
        <v>-1.98E-3</v>
      </c>
      <c r="AZ883">
        <v>6.7169999999999994E-2</v>
      </c>
      <c r="BA883">
        <v>1</v>
      </c>
      <c r="BB883" t="s">
        <v>70</v>
      </c>
      <c r="BC883">
        <v>-0.33200000000000002</v>
      </c>
      <c r="BD883">
        <v>-0.44800000000000001</v>
      </c>
      <c r="BE883" t="s">
        <v>71</v>
      </c>
    </row>
    <row r="884" spans="1:57">
      <c r="A884">
        <v>1919</v>
      </c>
      <c r="B884" t="s">
        <v>2070</v>
      </c>
      <c r="D884" t="s">
        <v>66</v>
      </c>
      <c r="E884" t="s">
        <v>2071</v>
      </c>
      <c r="F884" t="s">
        <v>2072</v>
      </c>
      <c r="G884">
        <v>213</v>
      </c>
      <c r="H884" t="s">
        <v>85</v>
      </c>
      <c r="I884">
        <v>4</v>
      </c>
      <c r="J884" t="str">
        <f>HYPERLINK("Gene1919-zp_tree_all.dnd", "Gene1919-tree")</f>
        <v>Gene1919-tree</v>
      </c>
      <c r="K884">
        <v>1</v>
      </c>
      <c r="L884">
        <v>3</v>
      </c>
      <c r="M884">
        <v>1</v>
      </c>
      <c r="N884">
        <v>3</v>
      </c>
      <c r="O884">
        <v>0.75</v>
      </c>
      <c r="P884" t="s">
        <v>65</v>
      </c>
      <c r="Q884" t="s">
        <v>86</v>
      </c>
      <c r="R884" t="s">
        <v>66</v>
      </c>
      <c r="S884" t="s">
        <v>66</v>
      </c>
      <c r="T884">
        <v>1</v>
      </c>
      <c r="U884">
        <v>2</v>
      </c>
      <c r="V884">
        <v>6</v>
      </c>
      <c r="W884">
        <v>0.25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2</v>
      </c>
      <c r="AD884">
        <v>0</v>
      </c>
      <c r="AE884">
        <v>2</v>
      </c>
      <c r="AF884">
        <v>6</v>
      </c>
      <c r="AG884">
        <v>0.25</v>
      </c>
      <c r="AH884">
        <v>4</v>
      </c>
      <c r="AI884">
        <v>1</v>
      </c>
      <c r="AJ884">
        <v>25</v>
      </c>
      <c r="AK884">
        <v>8</v>
      </c>
      <c r="AL884">
        <v>7</v>
      </c>
      <c r="AM884">
        <v>1</v>
      </c>
      <c r="AN884" t="s">
        <v>2073</v>
      </c>
      <c r="AO884" t="s">
        <v>2074</v>
      </c>
      <c r="AP884">
        <v>1.1859999999999999</v>
      </c>
      <c r="AQ884" t="s">
        <v>69</v>
      </c>
      <c r="AR884">
        <v>32</v>
      </c>
      <c r="AS884">
        <v>9</v>
      </c>
      <c r="AT884">
        <v>3.1559999999999998E-2</v>
      </c>
      <c r="AU884">
        <v>-2.8400000000000001E-3</v>
      </c>
      <c r="AV884">
        <v>0.11369</v>
      </c>
      <c r="AW884">
        <v>-9.0500000000000008E-3</v>
      </c>
      <c r="AX884">
        <v>8.94E-3</v>
      </c>
      <c r="AY884">
        <v>-2.0500000000000002E-3</v>
      </c>
      <c r="AZ884">
        <v>7.8640000000000002E-2</v>
      </c>
      <c r="BA884">
        <v>1</v>
      </c>
      <c r="BB884" t="s">
        <v>70</v>
      </c>
      <c r="BC884">
        <v>0.28000000000000003</v>
      </c>
      <c r="BD884">
        <v>-0.248</v>
      </c>
      <c r="BE884" t="s">
        <v>71</v>
      </c>
    </row>
    <row r="885" spans="1:57">
      <c r="A885">
        <v>2478</v>
      </c>
      <c r="B885" t="s">
        <v>2414</v>
      </c>
      <c r="D885" t="s">
        <v>66</v>
      </c>
      <c r="E885" t="s">
        <v>2415</v>
      </c>
      <c r="F885" t="s">
        <v>2416</v>
      </c>
      <c r="G885">
        <v>633</v>
      </c>
      <c r="H885" t="s">
        <v>85</v>
      </c>
      <c r="I885">
        <v>4</v>
      </c>
      <c r="J885" t="str">
        <f>HYPERLINK("Gene2478-zp_tree_all.dnd", "Gene2478-tree")</f>
        <v>Gene2478-tree</v>
      </c>
      <c r="K885">
        <v>1</v>
      </c>
      <c r="L885">
        <v>3</v>
      </c>
      <c r="M885">
        <v>1</v>
      </c>
      <c r="N885">
        <v>3</v>
      </c>
      <c r="O885">
        <v>0.75</v>
      </c>
      <c r="P885" t="s">
        <v>65</v>
      </c>
      <c r="Q885" t="s">
        <v>86</v>
      </c>
      <c r="R885" t="s">
        <v>66</v>
      </c>
      <c r="S885" t="s">
        <v>66</v>
      </c>
      <c r="T885">
        <v>1</v>
      </c>
      <c r="U885">
        <v>2</v>
      </c>
      <c r="V885">
        <v>6</v>
      </c>
      <c r="W885">
        <v>0.25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2</v>
      </c>
      <c r="AD885">
        <v>0</v>
      </c>
      <c r="AE885">
        <v>2</v>
      </c>
      <c r="AF885">
        <v>6</v>
      </c>
      <c r="AG885">
        <v>0.25</v>
      </c>
      <c r="AH885">
        <v>4</v>
      </c>
      <c r="AI885">
        <v>1</v>
      </c>
      <c r="AJ885">
        <v>94</v>
      </c>
      <c r="AK885">
        <v>9</v>
      </c>
      <c r="AL885">
        <v>5</v>
      </c>
      <c r="AM885">
        <v>0</v>
      </c>
      <c r="AN885" t="s">
        <v>2417</v>
      </c>
      <c r="AO885" t="s">
        <v>68</v>
      </c>
      <c r="AP885">
        <v>0.995</v>
      </c>
      <c r="AQ885" t="s">
        <v>69</v>
      </c>
      <c r="AR885">
        <v>99</v>
      </c>
      <c r="AS885">
        <v>9</v>
      </c>
      <c r="AT885">
        <v>2.7470000000000001E-2</v>
      </c>
      <c r="AU885">
        <v>-6.0800000000000003E-3</v>
      </c>
      <c r="AV885">
        <v>0.12322</v>
      </c>
      <c r="AW885">
        <v>-2.8369999999999999E-2</v>
      </c>
      <c r="AX885">
        <v>2.8500000000000001E-3</v>
      </c>
      <c r="AY885">
        <v>-8.0999999999999996E-4</v>
      </c>
      <c r="AZ885">
        <v>2.3130000000000001E-2</v>
      </c>
      <c r="BA885">
        <v>1</v>
      </c>
      <c r="BB885" t="s">
        <v>70</v>
      </c>
      <c r="BC885">
        <v>-0.35499999999999998</v>
      </c>
      <c r="BD885">
        <v>-0.64600000000000002</v>
      </c>
      <c r="BE885" t="s">
        <v>71</v>
      </c>
    </row>
    <row r="886" spans="1:57">
      <c r="A886">
        <v>2756</v>
      </c>
      <c r="B886" t="s">
        <v>2645</v>
      </c>
      <c r="D886" t="s">
        <v>66</v>
      </c>
      <c r="E886" t="s">
        <v>2646</v>
      </c>
      <c r="F886" t="s">
        <v>2647</v>
      </c>
      <c r="G886">
        <v>146</v>
      </c>
      <c r="H886" t="s">
        <v>63</v>
      </c>
      <c r="I886">
        <v>5</v>
      </c>
      <c r="J886" t="str">
        <f>HYPERLINK("Gene2756-zp_tree_all.dnd", "Gene2756-tree")</f>
        <v>Gene2756-tree</v>
      </c>
      <c r="K886">
        <v>1</v>
      </c>
      <c r="L886">
        <v>4</v>
      </c>
      <c r="M886">
        <v>1</v>
      </c>
      <c r="N886">
        <v>4</v>
      </c>
      <c r="O886">
        <v>0.8</v>
      </c>
      <c r="P886" t="s">
        <v>65</v>
      </c>
      <c r="Q886" t="s">
        <v>64</v>
      </c>
      <c r="R886" t="s">
        <v>66</v>
      </c>
      <c r="S886" t="s">
        <v>66</v>
      </c>
      <c r="T886">
        <v>1</v>
      </c>
      <c r="U886">
        <v>2</v>
      </c>
      <c r="V886">
        <v>10</v>
      </c>
      <c r="W886">
        <v>0.16667000000000001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2</v>
      </c>
      <c r="AD886">
        <v>0</v>
      </c>
      <c r="AE886">
        <v>2</v>
      </c>
      <c r="AF886">
        <v>10</v>
      </c>
      <c r="AG886">
        <v>0.16667000000000001</v>
      </c>
      <c r="AH886">
        <v>5</v>
      </c>
      <c r="AI886">
        <v>2</v>
      </c>
      <c r="AJ886">
        <v>8</v>
      </c>
      <c r="AK886">
        <v>8</v>
      </c>
      <c r="AL886">
        <v>11</v>
      </c>
      <c r="AM886">
        <v>4</v>
      </c>
      <c r="AN886" t="s">
        <v>2648</v>
      </c>
      <c r="AO886" t="s">
        <v>2649</v>
      </c>
      <c r="AP886">
        <v>0.84599999999999997</v>
      </c>
      <c r="AQ886" t="s">
        <v>69</v>
      </c>
      <c r="AR886">
        <v>19</v>
      </c>
      <c r="AS886">
        <v>12</v>
      </c>
      <c r="AT886">
        <v>3.4250000000000003E-2</v>
      </c>
      <c r="AU886">
        <v>-5.4299999999999999E-3</v>
      </c>
      <c r="AV886">
        <v>0.11283</v>
      </c>
      <c r="AW886">
        <v>-2.1219999999999999E-2</v>
      </c>
      <c r="AX886">
        <v>1.6E-2</v>
      </c>
      <c r="AY886">
        <v>-2.4299999999999999E-3</v>
      </c>
      <c r="AZ886">
        <v>0.14179</v>
      </c>
      <c r="BA886">
        <v>1</v>
      </c>
      <c r="BB886" t="s">
        <v>70</v>
      </c>
      <c r="BC886">
        <v>0.52600000000000002</v>
      </c>
      <c r="BD886">
        <v>0.25800000000000001</v>
      </c>
      <c r="BE886" t="s">
        <v>71</v>
      </c>
    </row>
    <row r="887" spans="1:57">
      <c r="A887">
        <v>2807</v>
      </c>
      <c r="B887" t="s">
        <v>2705</v>
      </c>
      <c r="D887" t="s">
        <v>66</v>
      </c>
      <c r="E887" t="s">
        <v>2706</v>
      </c>
      <c r="F887" t="s">
        <v>2707</v>
      </c>
      <c r="G887">
        <v>424</v>
      </c>
      <c r="H887" t="s">
        <v>85</v>
      </c>
      <c r="I887">
        <v>4</v>
      </c>
      <c r="J887" t="str">
        <f>HYPERLINK("Gene2807-zp_tree_all.dnd", "Gene2807-tree")</f>
        <v>Gene2807-tree</v>
      </c>
      <c r="K887">
        <v>0</v>
      </c>
      <c r="L887">
        <v>4</v>
      </c>
      <c r="M887">
        <v>0</v>
      </c>
      <c r="N887">
        <v>4</v>
      </c>
      <c r="O887">
        <v>1</v>
      </c>
      <c r="P887" t="s">
        <v>66</v>
      </c>
      <c r="Q887" t="s">
        <v>64</v>
      </c>
      <c r="R887" t="s">
        <v>66</v>
      </c>
      <c r="S887" t="s">
        <v>66</v>
      </c>
      <c r="T887">
        <v>1</v>
      </c>
      <c r="U887">
        <v>2</v>
      </c>
      <c r="V887">
        <v>13</v>
      </c>
      <c r="W887">
        <v>0.13333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2</v>
      </c>
      <c r="AD887">
        <v>0</v>
      </c>
      <c r="AE887">
        <v>2</v>
      </c>
      <c r="AF887">
        <v>13</v>
      </c>
      <c r="AG887">
        <v>0.13333</v>
      </c>
      <c r="AH887">
        <v>4</v>
      </c>
      <c r="AI887">
        <v>1</v>
      </c>
      <c r="AJ887">
        <v>61</v>
      </c>
      <c r="AK887">
        <v>13</v>
      </c>
      <c r="AL887">
        <v>8</v>
      </c>
      <c r="AM887">
        <v>2</v>
      </c>
      <c r="AN887" t="s">
        <v>2708</v>
      </c>
      <c r="AO887" t="s">
        <v>2709</v>
      </c>
      <c r="AP887">
        <v>0.29299999999999998</v>
      </c>
      <c r="AQ887" t="s">
        <v>69</v>
      </c>
      <c r="AR887">
        <v>69</v>
      </c>
      <c r="AS887">
        <v>15</v>
      </c>
      <c r="AT887">
        <v>3.3410000000000002E-2</v>
      </c>
      <c r="AU887">
        <v>-6.8900000000000003E-3</v>
      </c>
      <c r="AV887">
        <v>0.13622999999999999</v>
      </c>
      <c r="AW887">
        <v>-3.1780000000000003E-2</v>
      </c>
      <c r="AX887">
        <v>7.6699999999999997E-3</v>
      </c>
      <c r="AY887">
        <v>-1.0499999999999999E-3</v>
      </c>
      <c r="AZ887">
        <v>5.6309999999999999E-2</v>
      </c>
      <c r="BA887">
        <v>1</v>
      </c>
      <c r="BB887" t="s">
        <v>70</v>
      </c>
      <c r="BC887">
        <v>-0.14299999999999999</v>
      </c>
      <c r="BD887">
        <v>-0.628</v>
      </c>
      <c r="BE887" t="s">
        <v>71</v>
      </c>
    </row>
    <row r="888" spans="1:57">
      <c r="A888">
        <v>2844</v>
      </c>
      <c r="B888" t="s">
        <v>2749</v>
      </c>
      <c r="D888" t="s">
        <v>66</v>
      </c>
      <c r="E888" t="s">
        <v>2750</v>
      </c>
      <c r="F888" t="s">
        <v>2751</v>
      </c>
      <c r="G888">
        <v>428</v>
      </c>
      <c r="H888" t="s">
        <v>63</v>
      </c>
      <c r="I888">
        <v>5</v>
      </c>
      <c r="J888" t="str">
        <f>HYPERLINK("Gene2844-zp_tree_all.dnd", "Gene2844-tree")</f>
        <v>Gene2844-tree</v>
      </c>
      <c r="K888">
        <v>1</v>
      </c>
      <c r="L888">
        <v>4</v>
      </c>
      <c r="M888">
        <v>1</v>
      </c>
      <c r="N888">
        <v>4</v>
      </c>
      <c r="O888">
        <v>0.8</v>
      </c>
      <c r="P888" t="s">
        <v>65</v>
      </c>
      <c r="Q888" t="s">
        <v>64</v>
      </c>
      <c r="R888" t="s">
        <v>66</v>
      </c>
      <c r="S888" t="s">
        <v>66</v>
      </c>
      <c r="T888">
        <v>1</v>
      </c>
      <c r="U888">
        <v>2</v>
      </c>
      <c r="V888">
        <v>8</v>
      </c>
      <c r="W888">
        <v>0.2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2</v>
      </c>
      <c r="AD888">
        <v>0</v>
      </c>
      <c r="AE888">
        <v>2</v>
      </c>
      <c r="AF888">
        <v>8</v>
      </c>
      <c r="AG888">
        <v>0.2</v>
      </c>
      <c r="AH888">
        <v>5</v>
      </c>
      <c r="AI888">
        <v>2</v>
      </c>
      <c r="AJ888">
        <v>58</v>
      </c>
      <c r="AK888">
        <v>5</v>
      </c>
      <c r="AL888">
        <v>33</v>
      </c>
      <c r="AM888">
        <v>7</v>
      </c>
      <c r="AN888" t="s">
        <v>2752</v>
      </c>
      <c r="AO888" t="s">
        <v>2753</v>
      </c>
      <c r="AP888">
        <v>2.4860000000000002</v>
      </c>
      <c r="AQ888" t="s">
        <v>69</v>
      </c>
      <c r="AR888">
        <v>91</v>
      </c>
      <c r="AS888">
        <v>12</v>
      </c>
      <c r="AT888">
        <v>3.6060000000000002E-2</v>
      </c>
      <c r="AU888">
        <v>-3.8400000000000001E-3</v>
      </c>
      <c r="AV888">
        <v>0.15007999999999999</v>
      </c>
      <c r="AW888">
        <v>-1.5970000000000002E-2</v>
      </c>
      <c r="AX888">
        <v>6.1199999999999996E-3</v>
      </c>
      <c r="AY888">
        <v>-9.6000000000000002E-4</v>
      </c>
      <c r="AZ888">
        <v>4.0809999999999999E-2</v>
      </c>
      <c r="BA888">
        <v>1</v>
      </c>
      <c r="BB888" t="s">
        <v>70</v>
      </c>
      <c r="BC888">
        <v>0.28199999999999997</v>
      </c>
      <c r="BD888">
        <v>6.0999999999999999E-2</v>
      </c>
      <c r="BE888" t="s">
        <v>71</v>
      </c>
    </row>
    <row r="889" spans="1:57">
      <c r="A889">
        <v>2888</v>
      </c>
      <c r="B889" t="s">
        <v>2837</v>
      </c>
      <c r="D889" t="s">
        <v>66</v>
      </c>
      <c r="E889" t="s">
        <v>2838</v>
      </c>
      <c r="F889" t="s">
        <v>2839</v>
      </c>
      <c r="G889">
        <v>169</v>
      </c>
      <c r="H889" t="s">
        <v>106</v>
      </c>
      <c r="I889">
        <v>4</v>
      </c>
      <c r="J889" t="str">
        <f>HYPERLINK("Gene2888-zp_tree_all.dnd", "Gene2888-tree")</f>
        <v>Gene2888-tree</v>
      </c>
      <c r="K889">
        <v>0</v>
      </c>
      <c r="L889">
        <v>4</v>
      </c>
      <c r="M889">
        <v>0</v>
      </c>
      <c r="N889">
        <v>4</v>
      </c>
      <c r="O889">
        <v>1</v>
      </c>
      <c r="P889" t="s">
        <v>66</v>
      </c>
      <c r="Q889" t="s">
        <v>64</v>
      </c>
      <c r="R889" t="s">
        <v>66</v>
      </c>
      <c r="S889" t="s">
        <v>66</v>
      </c>
      <c r="T889">
        <v>2</v>
      </c>
      <c r="U889">
        <v>4</v>
      </c>
      <c r="V889">
        <v>6</v>
      </c>
      <c r="W889">
        <v>0.4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2</v>
      </c>
      <c r="AD889">
        <v>2</v>
      </c>
      <c r="AE889">
        <v>4</v>
      </c>
      <c r="AF889">
        <v>6</v>
      </c>
      <c r="AG889">
        <v>0.4</v>
      </c>
      <c r="AH889">
        <v>4</v>
      </c>
      <c r="AI889">
        <v>1</v>
      </c>
      <c r="AJ889">
        <v>19</v>
      </c>
      <c r="AK889">
        <v>10</v>
      </c>
      <c r="AL889">
        <v>1</v>
      </c>
      <c r="AM889">
        <v>0</v>
      </c>
      <c r="AN889" t="s">
        <v>2840</v>
      </c>
      <c r="AO889" t="s">
        <v>68</v>
      </c>
      <c r="AP889">
        <v>1.278</v>
      </c>
      <c r="AQ889" t="s">
        <v>69</v>
      </c>
      <c r="AR889">
        <v>20</v>
      </c>
      <c r="AS889">
        <v>10</v>
      </c>
      <c r="AT889">
        <v>2.9260000000000001E-2</v>
      </c>
      <c r="AU889">
        <v>-6.0899999999999999E-3</v>
      </c>
      <c r="AV889">
        <v>9.2359999999999998E-2</v>
      </c>
      <c r="AW889">
        <v>-1.9539999999999998E-2</v>
      </c>
      <c r="AX889">
        <v>1.2149999999999999E-2</v>
      </c>
      <c r="AY889">
        <v>-2.9399999999999999E-3</v>
      </c>
      <c r="AZ889">
        <v>0.13159000000000001</v>
      </c>
      <c r="BA889">
        <v>1</v>
      </c>
      <c r="BB889" t="s">
        <v>70</v>
      </c>
      <c r="BC889">
        <v>-0.64300000000000002</v>
      </c>
      <c r="BD889">
        <v>-0.64300000000000002</v>
      </c>
      <c r="BE889" t="s">
        <v>71</v>
      </c>
    </row>
    <row r="890" spans="1:57">
      <c r="A890">
        <v>2962</v>
      </c>
      <c r="B890" t="s">
        <v>2933</v>
      </c>
      <c r="D890" t="s">
        <v>66</v>
      </c>
      <c r="E890" t="s">
        <v>2934</v>
      </c>
      <c r="F890" t="s">
        <v>2935</v>
      </c>
      <c r="G890">
        <v>240</v>
      </c>
      <c r="H890" t="s">
        <v>63</v>
      </c>
      <c r="I890">
        <v>5</v>
      </c>
      <c r="J890" t="str">
        <f>HYPERLINK("Gene2962-zp_tree_all.dnd", "Gene2962-tree")</f>
        <v>Gene2962-tree</v>
      </c>
      <c r="K890">
        <v>3</v>
      </c>
      <c r="L890">
        <v>2</v>
      </c>
      <c r="M890">
        <v>3</v>
      </c>
      <c r="N890">
        <v>2</v>
      </c>
      <c r="O890">
        <v>0.4</v>
      </c>
      <c r="P890" t="s">
        <v>86</v>
      </c>
      <c r="Q890" t="s">
        <v>124</v>
      </c>
      <c r="R890" t="s">
        <v>66</v>
      </c>
      <c r="S890" t="s">
        <v>66</v>
      </c>
      <c r="T890">
        <v>1</v>
      </c>
      <c r="U890">
        <v>2</v>
      </c>
      <c r="V890">
        <v>3</v>
      </c>
      <c r="W890">
        <v>0.4</v>
      </c>
      <c r="X890">
        <v>0</v>
      </c>
      <c r="Y890">
        <v>0</v>
      </c>
      <c r="Z890">
        <v>0</v>
      </c>
      <c r="AA890">
        <v>2</v>
      </c>
      <c r="AB890">
        <v>0</v>
      </c>
      <c r="AC890">
        <v>2</v>
      </c>
      <c r="AD890">
        <v>0</v>
      </c>
      <c r="AE890">
        <v>2</v>
      </c>
      <c r="AF890">
        <v>1</v>
      </c>
      <c r="AG890">
        <v>0.66666999999999998</v>
      </c>
      <c r="AH890">
        <v>5</v>
      </c>
      <c r="AI890">
        <v>2</v>
      </c>
      <c r="AJ890">
        <v>20</v>
      </c>
      <c r="AK890">
        <v>3</v>
      </c>
      <c r="AL890">
        <v>20</v>
      </c>
      <c r="AM890">
        <v>2</v>
      </c>
      <c r="AN890" t="s">
        <v>2936</v>
      </c>
      <c r="AO890" t="s">
        <v>2937</v>
      </c>
      <c r="AP890">
        <v>0.308</v>
      </c>
      <c r="AQ890" t="s">
        <v>69</v>
      </c>
      <c r="AR890">
        <v>40</v>
      </c>
      <c r="AS890">
        <v>5</v>
      </c>
      <c r="AT890">
        <v>3.0419999999999999E-2</v>
      </c>
      <c r="AU890">
        <v>-4.8799999999999998E-3</v>
      </c>
      <c r="AV890">
        <v>0.14022000000000001</v>
      </c>
      <c r="AW890">
        <v>-2.41E-2</v>
      </c>
      <c r="AX890">
        <v>3.9300000000000003E-3</v>
      </c>
      <c r="AY890">
        <v>-5.9000000000000003E-4</v>
      </c>
      <c r="AZ890">
        <v>2.802E-2</v>
      </c>
      <c r="BA890">
        <v>1</v>
      </c>
      <c r="BB890" t="s">
        <v>70</v>
      </c>
      <c r="BC890">
        <v>0.46</v>
      </c>
      <c r="BD890">
        <v>0.27700000000000002</v>
      </c>
      <c r="BE890" t="s">
        <v>71</v>
      </c>
    </row>
    <row r="891" spans="1:57">
      <c r="A891">
        <v>3261</v>
      </c>
      <c r="B891" t="s">
        <v>3242</v>
      </c>
      <c r="D891" t="s">
        <v>66</v>
      </c>
      <c r="E891" t="s">
        <v>3243</v>
      </c>
      <c r="F891" t="s">
        <v>74</v>
      </c>
      <c r="G891">
        <v>106</v>
      </c>
      <c r="H891" t="s">
        <v>63</v>
      </c>
      <c r="I891">
        <v>5</v>
      </c>
      <c r="J891" t="str">
        <f>HYPERLINK("Gene3261-zp_tree_all.dnd", "Gene3261-tree")</f>
        <v>Gene3261-tree</v>
      </c>
      <c r="K891">
        <v>1</v>
      </c>
      <c r="L891">
        <v>4</v>
      </c>
      <c r="M891">
        <v>1</v>
      </c>
      <c r="N891">
        <v>4</v>
      </c>
      <c r="O891">
        <v>0.8</v>
      </c>
      <c r="P891" t="s">
        <v>65</v>
      </c>
      <c r="Q891" t="s">
        <v>64</v>
      </c>
      <c r="R891" t="s">
        <v>66</v>
      </c>
      <c r="S891" t="s">
        <v>66</v>
      </c>
      <c r="T891">
        <v>1</v>
      </c>
      <c r="U891">
        <v>2</v>
      </c>
      <c r="V891">
        <v>8</v>
      </c>
      <c r="W891">
        <v>0.2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2</v>
      </c>
      <c r="AD891">
        <v>0</v>
      </c>
      <c r="AE891">
        <v>2</v>
      </c>
      <c r="AF891">
        <v>8</v>
      </c>
      <c r="AG891">
        <v>0.2</v>
      </c>
      <c r="AH891">
        <v>5</v>
      </c>
      <c r="AI891">
        <v>2</v>
      </c>
      <c r="AJ891">
        <v>14</v>
      </c>
      <c r="AK891">
        <v>6</v>
      </c>
      <c r="AL891">
        <v>3</v>
      </c>
      <c r="AM891">
        <v>4</v>
      </c>
      <c r="AN891" t="s">
        <v>3244</v>
      </c>
      <c r="AO891" t="s">
        <v>3245</v>
      </c>
      <c r="AP891">
        <v>2.4350000000000001</v>
      </c>
      <c r="AQ891" t="s">
        <v>69</v>
      </c>
      <c r="AR891">
        <v>17</v>
      </c>
      <c r="AS891">
        <v>10</v>
      </c>
      <c r="AT891">
        <v>3.6479999999999999E-2</v>
      </c>
      <c r="AU891">
        <v>-3.2699999999999999E-3</v>
      </c>
      <c r="AV891">
        <v>0.10184</v>
      </c>
      <c r="AW891">
        <v>-1.061E-2</v>
      </c>
      <c r="AX891">
        <v>1.8460000000000001E-2</v>
      </c>
      <c r="AY891">
        <v>-2.48E-3</v>
      </c>
      <c r="AZ891">
        <v>0.18124000000000001</v>
      </c>
      <c r="BA891">
        <v>1</v>
      </c>
      <c r="BB891" t="s">
        <v>70</v>
      </c>
      <c r="BC891">
        <v>-0.248</v>
      </c>
      <c r="BD891">
        <v>-0.248</v>
      </c>
      <c r="BE891" t="s">
        <v>71</v>
      </c>
    </row>
    <row r="892" spans="1:57">
      <c r="A892">
        <v>3267</v>
      </c>
      <c r="B892" t="s">
        <v>3257</v>
      </c>
      <c r="D892" t="s">
        <v>66</v>
      </c>
      <c r="E892" t="s">
        <v>3258</v>
      </c>
      <c r="F892" t="s">
        <v>3259</v>
      </c>
      <c r="G892">
        <v>207</v>
      </c>
      <c r="H892" t="s">
        <v>85</v>
      </c>
      <c r="I892">
        <v>4</v>
      </c>
      <c r="J892" t="str">
        <f>HYPERLINK("Gene3267-zp_tree_all.dnd", "Gene3267-tree")</f>
        <v>Gene3267-tree</v>
      </c>
      <c r="K892">
        <v>0</v>
      </c>
      <c r="L892">
        <v>4</v>
      </c>
      <c r="M892">
        <v>0</v>
      </c>
      <c r="N892">
        <v>4</v>
      </c>
      <c r="O892">
        <v>1</v>
      </c>
      <c r="P892" t="s">
        <v>66</v>
      </c>
      <c r="Q892" t="s">
        <v>64</v>
      </c>
      <c r="R892" t="s">
        <v>66</v>
      </c>
      <c r="S892" t="s">
        <v>66</v>
      </c>
      <c r="T892">
        <v>2</v>
      </c>
      <c r="U892">
        <v>4</v>
      </c>
      <c r="V892">
        <v>11</v>
      </c>
      <c r="W892">
        <v>0.26667000000000002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2</v>
      </c>
      <c r="AD892">
        <v>2</v>
      </c>
      <c r="AE892">
        <v>4</v>
      </c>
      <c r="AF892">
        <v>11</v>
      </c>
      <c r="AG892">
        <v>0.26667000000000002</v>
      </c>
      <c r="AH892">
        <v>4</v>
      </c>
      <c r="AI892">
        <v>1</v>
      </c>
      <c r="AJ892">
        <v>14</v>
      </c>
      <c r="AK892">
        <v>16</v>
      </c>
      <c r="AL892">
        <v>2</v>
      </c>
      <c r="AM892">
        <v>0</v>
      </c>
      <c r="AN892" t="s">
        <v>3260</v>
      </c>
      <c r="AO892" t="s">
        <v>68</v>
      </c>
      <c r="AP892">
        <v>0.83</v>
      </c>
      <c r="AQ892" t="s">
        <v>69</v>
      </c>
      <c r="AR892">
        <v>16</v>
      </c>
      <c r="AS892">
        <v>16</v>
      </c>
      <c r="AT892">
        <v>2.528E-2</v>
      </c>
      <c r="AU892">
        <v>-5.79E-3</v>
      </c>
      <c r="AV892">
        <v>6.9070000000000006E-2</v>
      </c>
      <c r="AW892">
        <v>-2.1780000000000001E-2</v>
      </c>
      <c r="AX892">
        <v>1.5520000000000001E-2</v>
      </c>
      <c r="AY892">
        <v>-2.3999999999999998E-3</v>
      </c>
      <c r="AZ892">
        <v>0.22473000000000001</v>
      </c>
      <c r="BA892">
        <v>1</v>
      </c>
      <c r="BB892" t="s">
        <v>70</v>
      </c>
      <c r="BC892">
        <v>-0.34100000000000003</v>
      </c>
      <c r="BD892">
        <v>-0.76</v>
      </c>
      <c r="BE892" t="s">
        <v>71</v>
      </c>
    </row>
    <row r="893" spans="1:57">
      <c r="A893">
        <v>3274</v>
      </c>
      <c r="B893" t="s">
        <v>3274</v>
      </c>
      <c r="D893" t="s">
        <v>66</v>
      </c>
      <c r="E893" t="s">
        <v>3275</v>
      </c>
      <c r="F893" t="s">
        <v>3276</v>
      </c>
      <c r="G893">
        <v>108</v>
      </c>
      <c r="H893" t="s">
        <v>63</v>
      </c>
      <c r="I893">
        <v>5</v>
      </c>
      <c r="J893" t="str">
        <f>HYPERLINK("Gene3274-zp_tree_all.dnd", "Gene3274-tree")</f>
        <v>Gene3274-tree</v>
      </c>
      <c r="K893">
        <v>1</v>
      </c>
      <c r="L893">
        <v>4</v>
      </c>
      <c r="M893">
        <v>1</v>
      </c>
      <c r="N893">
        <v>4</v>
      </c>
      <c r="O893">
        <v>0.8</v>
      </c>
      <c r="P893" t="s">
        <v>65</v>
      </c>
      <c r="Q893" t="s">
        <v>64</v>
      </c>
      <c r="R893" t="s">
        <v>66</v>
      </c>
      <c r="S893" t="s">
        <v>66</v>
      </c>
      <c r="T893">
        <v>2</v>
      </c>
      <c r="U893">
        <v>4</v>
      </c>
      <c r="V893">
        <v>4</v>
      </c>
      <c r="W893">
        <v>0.5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2</v>
      </c>
      <c r="AD893">
        <v>2</v>
      </c>
      <c r="AE893">
        <v>4</v>
      </c>
      <c r="AF893">
        <v>4</v>
      </c>
      <c r="AG893">
        <v>0.5</v>
      </c>
      <c r="AH893">
        <v>5</v>
      </c>
      <c r="AI893">
        <v>2</v>
      </c>
      <c r="AJ893">
        <v>8</v>
      </c>
      <c r="AK893">
        <v>7</v>
      </c>
      <c r="AL893">
        <v>7</v>
      </c>
      <c r="AM893">
        <v>1</v>
      </c>
      <c r="AN893" t="s">
        <v>3277</v>
      </c>
      <c r="AO893" t="s">
        <v>3278</v>
      </c>
      <c r="AP893">
        <v>1.659</v>
      </c>
      <c r="AQ893" t="s">
        <v>69</v>
      </c>
      <c r="AR893">
        <v>15</v>
      </c>
      <c r="AS893">
        <v>8</v>
      </c>
      <c r="AT893">
        <v>3.3020000000000001E-2</v>
      </c>
      <c r="AU893">
        <v>-4.1099999999999999E-3</v>
      </c>
      <c r="AV893">
        <v>0.1196</v>
      </c>
      <c r="AW893">
        <v>-1.949E-2</v>
      </c>
      <c r="AX893">
        <v>1.2529999999999999E-2</v>
      </c>
      <c r="AY893">
        <v>-1.47E-3</v>
      </c>
      <c r="AZ893">
        <v>0.10477</v>
      </c>
      <c r="BA893">
        <v>1</v>
      </c>
      <c r="BB893" t="s">
        <v>70</v>
      </c>
      <c r="BC893">
        <v>0.309</v>
      </c>
      <c r="BD893">
        <v>-5.8999999999999997E-2</v>
      </c>
      <c r="BE893" t="s">
        <v>71</v>
      </c>
    </row>
    <row r="894" spans="1:57">
      <c r="A894">
        <v>3315</v>
      </c>
      <c r="B894" t="s">
        <v>3308</v>
      </c>
      <c r="D894" t="s">
        <v>66</v>
      </c>
      <c r="E894" t="s">
        <v>3309</v>
      </c>
      <c r="F894" t="s">
        <v>3310</v>
      </c>
      <c r="G894">
        <v>328</v>
      </c>
      <c r="H894" t="s">
        <v>63</v>
      </c>
      <c r="I894">
        <v>5</v>
      </c>
      <c r="J894" t="str">
        <f>HYPERLINK("Gene3315-zp_tree_all.dnd", "Gene3315-tree")</f>
        <v>Gene3315-tree</v>
      </c>
      <c r="K894">
        <v>2</v>
      </c>
      <c r="L894">
        <v>3</v>
      </c>
      <c r="M894">
        <v>2</v>
      </c>
      <c r="N894">
        <v>3</v>
      </c>
      <c r="O894">
        <v>0.6</v>
      </c>
      <c r="P894" t="s">
        <v>124</v>
      </c>
      <c r="Q894" t="s">
        <v>86</v>
      </c>
      <c r="R894" t="s">
        <v>66</v>
      </c>
      <c r="S894" t="s">
        <v>66</v>
      </c>
      <c r="T894">
        <v>1</v>
      </c>
      <c r="U894">
        <v>2</v>
      </c>
      <c r="V894">
        <v>8</v>
      </c>
      <c r="W894">
        <v>0.2</v>
      </c>
      <c r="X894">
        <v>0</v>
      </c>
      <c r="Y894">
        <v>0</v>
      </c>
      <c r="Z894">
        <v>0</v>
      </c>
      <c r="AA894">
        <v>2</v>
      </c>
      <c r="AB894">
        <v>0</v>
      </c>
      <c r="AC894">
        <v>2</v>
      </c>
      <c r="AD894">
        <v>0</v>
      </c>
      <c r="AE894">
        <v>2</v>
      </c>
      <c r="AF894">
        <v>6</v>
      </c>
      <c r="AG894">
        <v>0.25</v>
      </c>
      <c r="AH894">
        <v>5</v>
      </c>
      <c r="AI894">
        <v>2</v>
      </c>
      <c r="AJ894">
        <v>14</v>
      </c>
      <c r="AK894">
        <v>5</v>
      </c>
      <c r="AL894">
        <v>28</v>
      </c>
      <c r="AM894">
        <v>5</v>
      </c>
      <c r="AN894" t="s">
        <v>3311</v>
      </c>
      <c r="AO894" t="s">
        <v>3312</v>
      </c>
      <c r="AP894">
        <v>1.0329999999999999</v>
      </c>
      <c r="AQ894" t="s">
        <v>69</v>
      </c>
      <c r="AR894">
        <v>42</v>
      </c>
      <c r="AS894">
        <v>10</v>
      </c>
      <c r="AT894">
        <v>2.6630000000000001E-2</v>
      </c>
      <c r="AU894">
        <v>-4.4400000000000004E-3</v>
      </c>
      <c r="AV894">
        <v>0.10489</v>
      </c>
      <c r="AW894">
        <v>-1.949E-2</v>
      </c>
      <c r="AX894">
        <v>6.1000000000000004E-3</v>
      </c>
      <c r="AY894">
        <v>-7.6000000000000004E-4</v>
      </c>
      <c r="AZ894">
        <v>5.8110000000000002E-2</v>
      </c>
      <c r="BA894">
        <v>1</v>
      </c>
      <c r="BB894" t="s">
        <v>70</v>
      </c>
      <c r="BC894">
        <v>0.86</v>
      </c>
      <c r="BD894">
        <v>0.86</v>
      </c>
      <c r="BE894" t="s">
        <v>71</v>
      </c>
    </row>
    <row r="895" spans="1:57">
      <c r="A895">
        <v>3452</v>
      </c>
      <c r="B895" t="s">
        <v>3469</v>
      </c>
      <c r="D895" t="s">
        <v>66</v>
      </c>
      <c r="E895" t="s">
        <v>3470</v>
      </c>
      <c r="F895" t="s">
        <v>3471</v>
      </c>
      <c r="G895">
        <v>253</v>
      </c>
      <c r="H895" t="s">
        <v>63</v>
      </c>
      <c r="I895">
        <v>5</v>
      </c>
      <c r="J895" t="str">
        <f>HYPERLINK("Gene3452-zp_tree_all.dnd", "Gene3452-tree")</f>
        <v>Gene3452-tree</v>
      </c>
      <c r="K895">
        <v>2</v>
      </c>
      <c r="L895">
        <v>3</v>
      </c>
      <c r="M895">
        <v>2</v>
      </c>
      <c r="N895">
        <v>3</v>
      </c>
      <c r="O895">
        <v>0.6</v>
      </c>
      <c r="P895" t="s">
        <v>124</v>
      </c>
      <c r="Q895" t="s">
        <v>86</v>
      </c>
      <c r="R895" t="s">
        <v>66</v>
      </c>
      <c r="S895" t="s">
        <v>66</v>
      </c>
      <c r="T895">
        <v>1</v>
      </c>
      <c r="U895">
        <v>2</v>
      </c>
      <c r="V895">
        <v>2</v>
      </c>
      <c r="W895">
        <v>0.5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2</v>
      </c>
      <c r="AD895">
        <v>0</v>
      </c>
      <c r="AE895">
        <v>2</v>
      </c>
      <c r="AF895">
        <v>1</v>
      </c>
      <c r="AG895">
        <v>0.66666999999999998</v>
      </c>
      <c r="AH895">
        <v>5</v>
      </c>
      <c r="AI895">
        <v>2</v>
      </c>
      <c r="AJ895">
        <v>8</v>
      </c>
      <c r="AK895">
        <v>3</v>
      </c>
      <c r="AL895">
        <v>9</v>
      </c>
      <c r="AM895">
        <v>1</v>
      </c>
      <c r="AN895" t="s">
        <v>3472</v>
      </c>
      <c r="AO895" t="s">
        <v>3473</v>
      </c>
      <c r="AP895">
        <v>0.78600000000000003</v>
      </c>
      <c r="AQ895" t="s">
        <v>69</v>
      </c>
      <c r="AR895">
        <v>17</v>
      </c>
      <c r="AS895">
        <v>4</v>
      </c>
      <c r="AT895">
        <v>1.3440000000000001E-2</v>
      </c>
      <c r="AU895">
        <v>-2.31E-3</v>
      </c>
      <c r="AV895">
        <v>5.1790000000000003E-2</v>
      </c>
      <c r="AW895">
        <v>-9.6600000000000002E-3</v>
      </c>
      <c r="AX895">
        <v>2.7399999999999998E-3</v>
      </c>
      <c r="AY895">
        <v>-5.0000000000000001E-4</v>
      </c>
      <c r="AZ895">
        <v>5.2920000000000002E-2</v>
      </c>
      <c r="BA895">
        <v>1</v>
      </c>
      <c r="BB895" t="s">
        <v>70</v>
      </c>
      <c r="BC895">
        <v>0.46200000000000002</v>
      </c>
      <c r="BD895">
        <v>0.46200000000000002</v>
      </c>
      <c r="BE895" t="s">
        <v>71</v>
      </c>
    </row>
    <row r="896" spans="1:57">
      <c r="A896">
        <v>3496</v>
      </c>
      <c r="B896" t="s">
        <v>3496</v>
      </c>
      <c r="D896" t="s">
        <v>66</v>
      </c>
      <c r="E896" t="s">
        <v>3497</v>
      </c>
      <c r="F896" t="s">
        <v>74</v>
      </c>
      <c r="G896">
        <v>234</v>
      </c>
      <c r="H896" t="s">
        <v>63</v>
      </c>
      <c r="I896">
        <v>5</v>
      </c>
      <c r="J896" t="str">
        <f>HYPERLINK("Gene3496-zp_tree_all.dnd", "Gene3496-tree")</f>
        <v>Gene3496-tree</v>
      </c>
      <c r="K896">
        <v>2</v>
      </c>
      <c r="L896">
        <v>3</v>
      </c>
      <c r="M896">
        <v>2</v>
      </c>
      <c r="N896">
        <v>3</v>
      </c>
      <c r="O896">
        <v>0.6</v>
      </c>
      <c r="P896" t="s">
        <v>124</v>
      </c>
      <c r="Q896" t="s">
        <v>86</v>
      </c>
      <c r="R896" t="s">
        <v>66</v>
      </c>
      <c r="S896" t="s">
        <v>66</v>
      </c>
      <c r="T896">
        <v>1</v>
      </c>
      <c r="U896">
        <v>2</v>
      </c>
      <c r="V896">
        <v>10</v>
      </c>
      <c r="W896">
        <v>0.16667000000000001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2</v>
      </c>
      <c r="AD896">
        <v>0</v>
      </c>
      <c r="AE896">
        <v>2</v>
      </c>
      <c r="AF896">
        <v>10</v>
      </c>
      <c r="AG896">
        <v>0.16667000000000001</v>
      </c>
      <c r="AH896">
        <v>5</v>
      </c>
      <c r="AI896">
        <v>2</v>
      </c>
      <c r="AJ896">
        <v>23</v>
      </c>
      <c r="AK896">
        <v>7</v>
      </c>
      <c r="AL896">
        <v>17</v>
      </c>
      <c r="AM896">
        <v>5</v>
      </c>
      <c r="AN896" t="s">
        <v>3498</v>
      </c>
      <c r="AO896" t="s">
        <v>3499</v>
      </c>
      <c r="AP896">
        <v>6.8000000000000005E-2</v>
      </c>
      <c r="AQ896" t="s">
        <v>69</v>
      </c>
      <c r="AR896">
        <v>40</v>
      </c>
      <c r="AS896">
        <v>12</v>
      </c>
      <c r="AT896">
        <v>3.39E-2</v>
      </c>
      <c r="AU896">
        <v>-4.4000000000000003E-3</v>
      </c>
      <c r="AV896">
        <v>0.13166</v>
      </c>
      <c r="AW896">
        <v>-1.9E-2</v>
      </c>
      <c r="AX896">
        <v>9.9500000000000005E-3</v>
      </c>
      <c r="AY896">
        <v>-1.39E-3</v>
      </c>
      <c r="AZ896">
        <v>7.5579999999999994E-2</v>
      </c>
      <c r="BA896">
        <v>1</v>
      </c>
      <c r="BB896" t="s">
        <v>70</v>
      </c>
      <c r="BC896">
        <v>0.58699999999999997</v>
      </c>
      <c r="BD896">
        <v>0.109</v>
      </c>
      <c r="BE896" t="s">
        <v>71</v>
      </c>
    </row>
    <row r="897" spans="1:57">
      <c r="A897">
        <v>3592</v>
      </c>
      <c r="B897" t="s">
        <v>3566</v>
      </c>
      <c r="D897" t="s">
        <v>66</v>
      </c>
      <c r="E897" t="s">
        <v>3567</v>
      </c>
      <c r="F897" t="s">
        <v>3568</v>
      </c>
      <c r="G897">
        <v>133</v>
      </c>
      <c r="H897" t="s">
        <v>106</v>
      </c>
      <c r="I897">
        <v>4</v>
      </c>
      <c r="J897" t="str">
        <f>HYPERLINK("Gene3592-zp_tree_all.dnd", "Gene3592-tree")</f>
        <v>Gene3592-tree</v>
      </c>
      <c r="K897">
        <v>2</v>
      </c>
      <c r="L897">
        <v>2</v>
      </c>
      <c r="M897">
        <v>2</v>
      </c>
      <c r="N897">
        <v>2</v>
      </c>
      <c r="O897">
        <v>0.5</v>
      </c>
      <c r="P897" t="s">
        <v>124</v>
      </c>
      <c r="Q897" t="s">
        <v>124</v>
      </c>
      <c r="R897" t="s">
        <v>66</v>
      </c>
      <c r="S897" t="s">
        <v>66</v>
      </c>
      <c r="T897">
        <v>1</v>
      </c>
      <c r="U897">
        <v>2</v>
      </c>
      <c r="V897">
        <v>2</v>
      </c>
      <c r="W897">
        <v>0.5</v>
      </c>
      <c r="X897">
        <v>0</v>
      </c>
      <c r="Y897">
        <v>0</v>
      </c>
      <c r="Z897">
        <v>0</v>
      </c>
      <c r="AA897">
        <v>1</v>
      </c>
      <c r="AB897">
        <v>0</v>
      </c>
      <c r="AC897">
        <v>2</v>
      </c>
      <c r="AD897">
        <v>0</v>
      </c>
      <c r="AE897">
        <v>2</v>
      </c>
      <c r="AF897">
        <v>1</v>
      </c>
      <c r="AG897">
        <v>0.66666999999999998</v>
      </c>
      <c r="AH897">
        <v>4</v>
      </c>
      <c r="AI897">
        <v>1</v>
      </c>
      <c r="AJ897">
        <v>23</v>
      </c>
      <c r="AK897">
        <v>3</v>
      </c>
      <c r="AL897">
        <v>3</v>
      </c>
      <c r="AM897">
        <v>1</v>
      </c>
      <c r="AN897" t="s">
        <v>3569</v>
      </c>
      <c r="AO897" t="s">
        <v>3570</v>
      </c>
      <c r="AP897">
        <v>2.3610000000000002</v>
      </c>
      <c r="AQ897" t="s">
        <v>69</v>
      </c>
      <c r="AR897">
        <v>26</v>
      </c>
      <c r="AS897">
        <v>4</v>
      </c>
      <c r="AT897">
        <v>3.6339999999999997E-2</v>
      </c>
      <c r="AU897">
        <v>-2.6900000000000001E-3</v>
      </c>
      <c r="AV897">
        <v>0.16175</v>
      </c>
      <c r="AW897">
        <v>-1.6590000000000001E-2</v>
      </c>
      <c r="AX897">
        <v>5.9100000000000003E-3</v>
      </c>
      <c r="AY897">
        <v>-9.1E-4</v>
      </c>
      <c r="AZ897">
        <v>3.6560000000000002E-2</v>
      </c>
      <c r="BA897">
        <v>1</v>
      </c>
      <c r="BB897" t="s">
        <v>70</v>
      </c>
      <c r="BC897">
        <v>0.23100000000000001</v>
      </c>
      <c r="BD897">
        <v>-0.13200000000000001</v>
      </c>
      <c r="BE897" t="s">
        <v>71</v>
      </c>
    </row>
    <row r="898" spans="1:57">
      <c r="A898">
        <v>3742</v>
      </c>
      <c r="B898" t="s">
        <v>3694</v>
      </c>
      <c r="D898" t="s">
        <v>66</v>
      </c>
      <c r="E898" t="s">
        <v>3695</v>
      </c>
      <c r="F898" t="s">
        <v>3696</v>
      </c>
      <c r="G898">
        <v>502</v>
      </c>
      <c r="H898" t="s">
        <v>63</v>
      </c>
      <c r="I898">
        <v>5</v>
      </c>
      <c r="J898" t="str">
        <f>HYPERLINK("Gene3742-zp_tree_all.dnd", "Gene3742-tree")</f>
        <v>Gene3742-tree</v>
      </c>
      <c r="K898">
        <v>2</v>
      </c>
      <c r="L898">
        <v>3</v>
      </c>
      <c r="M898">
        <v>2</v>
      </c>
      <c r="N898">
        <v>3</v>
      </c>
      <c r="O898">
        <v>0.6</v>
      </c>
      <c r="P898" t="s">
        <v>124</v>
      </c>
      <c r="Q898" t="s">
        <v>86</v>
      </c>
      <c r="R898" t="s">
        <v>66</v>
      </c>
      <c r="S898" t="s">
        <v>66</v>
      </c>
      <c r="T898">
        <v>1</v>
      </c>
      <c r="U898">
        <v>2</v>
      </c>
      <c r="V898">
        <v>2</v>
      </c>
      <c r="W898">
        <v>0.5</v>
      </c>
      <c r="X898">
        <v>0</v>
      </c>
      <c r="Y898">
        <v>0</v>
      </c>
      <c r="Z898">
        <v>0</v>
      </c>
      <c r="AA898">
        <v>1</v>
      </c>
      <c r="AB898">
        <v>0</v>
      </c>
      <c r="AC898">
        <v>2</v>
      </c>
      <c r="AD898">
        <v>0</v>
      </c>
      <c r="AE898">
        <v>2</v>
      </c>
      <c r="AF898">
        <v>1</v>
      </c>
      <c r="AG898">
        <v>0.66666999999999998</v>
      </c>
      <c r="AH898">
        <v>5</v>
      </c>
      <c r="AI898">
        <v>2</v>
      </c>
      <c r="AJ898">
        <v>28</v>
      </c>
      <c r="AK898">
        <v>3</v>
      </c>
      <c r="AL898">
        <v>31</v>
      </c>
      <c r="AM898">
        <v>1</v>
      </c>
      <c r="AN898" t="s">
        <v>3697</v>
      </c>
      <c r="AO898" t="s">
        <v>3698</v>
      </c>
      <c r="AP898">
        <v>1.494</v>
      </c>
      <c r="AQ898" t="s">
        <v>69</v>
      </c>
      <c r="AR898">
        <v>59</v>
      </c>
      <c r="AS898">
        <v>4</v>
      </c>
      <c r="AT898">
        <v>2.0389999999999998E-2</v>
      </c>
      <c r="AU898">
        <v>-3.1099999999999999E-3</v>
      </c>
      <c r="AV898">
        <v>8.3299999999999999E-2</v>
      </c>
      <c r="AW898">
        <v>-1.321E-2</v>
      </c>
      <c r="AX898">
        <v>1.42E-3</v>
      </c>
      <c r="AY898">
        <v>-2.5999999999999998E-4</v>
      </c>
      <c r="AZ898">
        <v>1.6990000000000002E-2</v>
      </c>
      <c r="BA898">
        <v>1</v>
      </c>
      <c r="BB898" t="s">
        <v>70</v>
      </c>
      <c r="BC898">
        <v>0.77700000000000002</v>
      </c>
      <c r="BD898">
        <v>0.53200000000000003</v>
      </c>
      <c r="BE898" t="s">
        <v>71</v>
      </c>
    </row>
    <row r="899" spans="1:57">
      <c r="A899">
        <v>3752</v>
      </c>
      <c r="B899" t="s">
        <v>3726</v>
      </c>
      <c r="D899" t="s">
        <v>66</v>
      </c>
      <c r="E899" t="s">
        <v>3727</v>
      </c>
      <c r="F899" t="s">
        <v>3728</v>
      </c>
      <c r="G899">
        <v>150</v>
      </c>
      <c r="H899" t="s">
        <v>85</v>
      </c>
      <c r="I899">
        <v>4</v>
      </c>
      <c r="J899" t="str">
        <f>HYPERLINK("Gene3752-zp_tree_all.dnd", "Gene3752-tree")</f>
        <v>Gene3752-tree</v>
      </c>
      <c r="K899">
        <v>1</v>
      </c>
      <c r="L899">
        <v>3</v>
      </c>
      <c r="M899">
        <v>1</v>
      </c>
      <c r="N899">
        <v>3</v>
      </c>
      <c r="O899">
        <v>0.75</v>
      </c>
      <c r="P899" t="s">
        <v>65</v>
      </c>
      <c r="Q899" t="s">
        <v>86</v>
      </c>
      <c r="R899" t="s">
        <v>66</v>
      </c>
      <c r="S899" t="s">
        <v>66</v>
      </c>
      <c r="T899">
        <v>2</v>
      </c>
      <c r="U899">
        <v>4</v>
      </c>
      <c r="V899">
        <v>9</v>
      </c>
      <c r="W899">
        <v>0.30769000000000002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2</v>
      </c>
      <c r="AD899">
        <v>2</v>
      </c>
      <c r="AE899">
        <v>4</v>
      </c>
      <c r="AF899">
        <v>9</v>
      </c>
      <c r="AG899">
        <v>0.30769000000000002</v>
      </c>
      <c r="AH899">
        <v>4</v>
      </c>
      <c r="AI899">
        <v>1</v>
      </c>
      <c r="AJ899">
        <v>11</v>
      </c>
      <c r="AK899">
        <v>13</v>
      </c>
      <c r="AL899">
        <v>2</v>
      </c>
      <c r="AM899">
        <v>0</v>
      </c>
      <c r="AN899" t="s">
        <v>3729</v>
      </c>
      <c r="AO899" t="s">
        <v>68</v>
      </c>
      <c r="AP899">
        <v>0.93400000000000005</v>
      </c>
      <c r="AQ899" t="s">
        <v>69</v>
      </c>
      <c r="AR899">
        <v>13</v>
      </c>
      <c r="AS899">
        <v>13</v>
      </c>
      <c r="AT899">
        <v>2.7959999999999999E-2</v>
      </c>
      <c r="AU899">
        <v>-6.62E-3</v>
      </c>
      <c r="AV899">
        <v>6.7129999999999995E-2</v>
      </c>
      <c r="AW899">
        <v>-1.5310000000000001E-2</v>
      </c>
      <c r="AX899">
        <v>1.772E-2</v>
      </c>
      <c r="AY899">
        <v>-4.9500000000000004E-3</v>
      </c>
      <c r="AZ899">
        <v>0.26401000000000002</v>
      </c>
      <c r="BA899">
        <v>0.99</v>
      </c>
      <c r="BB899" t="s">
        <v>70</v>
      </c>
      <c r="BC899">
        <v>-3.6999999999999998E-2</v>
      </c>
      <c r="BD899">
        <v>-0.85699999999999998</v>
      </c>
      <c r="BE899" t="s">
        <v>71</v>
      </c>
    </row>
    <row r="900" spans="1:57">
      <c r="A900">
        <v>4016</v>
      </c>
      <c r="B900" t="s">
        <v>3970</v>
      </c>
      <c r="D900" t="s">
        <v>66</v>
      </c>
      <c r="E900" t="s">
        <v>3971</v>
      </c>
      <c r="F900" t="s">
        <v>74</v>
      </c>
      <c r="G900">
        <v>270</v>
      </c>
      <c r="H900" t="s">
        <v>63</v>
      </c>
      <c r="I900">
        <v>5</v>
      </c>
      <c r="J900" t="str">
        <f>HYPERLINK("Gene4016-zp_tree_all.dnd", "Gene4016-tree")</f>
        <v>Gene4016-tree</v>
      </c>
      <c r="K900">
        <v>1</v>
      </c>
      <c r="L900">
        <v>4</v>
      </c>
      <c r="M900">
        <v>1</v>
      </c>
      <c r="N900">
        <v>4</v>
      </c>
      <c r="O900">
        <v>0.8</v>
      </c>
      <c r="P900" t="s">
        <v>65</v>
      </c>
      <c r="Q900" t="s">
        <v>64</v>
      </c>
      <c r="R900" t="s">
        <v>66</v>
      </c>
      <c r="S900" t="s">
        <v>66</v>
      </c>
      <c r="T900">
        <v>1</v>
      </c>
      <c r="U900">
        <v>2</v>
      </c>
      <c r="V900">
        <v>10</v>
      </c>
      <c r="W900">
        <v>0.16667000000000001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2</v>
      </c>
      <c r="AD900">
        <v>0</v>
      </c>
      <c r="AE900">
        <v>2</v>
      </c>
      <c r="AF900">
        <v>10</v>
      </c>
      <c r="AG900">
        <v>0.16667000000000001</v>
      </c>
      <c r="AH900">
        <v>5</v>
      </c>
      <c r="AI900">
        <v>2</v>
      </c>
      <c r="AJ900">
        <v>39</v>
      </c>
      <c r="AK900">
        <v>6</v>
      </c>
      <c r="AL900">
        <v>18</v>
      </c>
      <c r="AM900">
        <v>6</v>
      </c>
      <c r="AN900" t="s">
        <v>3972</v>
      </c>
      <c r="AO900" t="s">
        <v>3973</v>
      </c>
      <c r="AP900">
        <v>0.81699999999999995</v>
      </c>
      <c r="AQ900" t="s">
        <v>69</v>
      </c>
      <c r="AR900">
        <v>57</v>
      </c>
      <c r="AS900">
        <v>12</v>
      </c>
      <c r="AT900">
        <v>3.7530000000000001E-2</v>
      </c>
      <c r="AU900">
        <v>-4.2199999999999998E-3</v>
      </c>
      <c r="AV900">
        <v>0.14885999999999999</v>
      </c>
      <c r="AW900">
        <v>-1.6969999999999999E-2</v>
      </c>
      <c r="AX900">
        <v>9.0399999999999994E-3</v>
      </c>
      <c r="AY900">
        <v>-1.4E-3</v>
      </c>
      <c r="AZ900">
        <v>6.0729999999999999E-2</v>
      </c>
      <c r="BA900">
        <v>1</v>
      </c>
      <c r="BB900" t="s">
        <v>70</v>
      </c>
      <c r="BC900">
        <v>0.16300000000000001</v>
      </c>
      <c r="BD900">
        <v>-9.1999999999999998E-2</v>
      </c>
      <c r="BE900" t="s">
        <v>71</v>
      </c>
    </row>
    <row r="901" spans="1:57">
      <c r="A901">
        <v>4023</v>
      </c>
      <c r="B901" t="s">
        <v>3987</v>
      </c>
      <c r="D901" t="s">
        <v>66</v>
      </c>
      <c r="E901" t="s">
        <v>3988</v>
      </c>
      <c r="F901" t="s">
        <v>74</v>
      </c>
      <c r="G901">
        <v>115</v>
      </c>
      <c r="H901" t="s">
        <v>63</v>
      </c>
      <c r="I901">
        <v>5</v>
      </c>
      <c r="J901" t="str">
        <f>HYPERLINK("Gene4023-zp_tree_all.dnd", "Gene4023-tree")</f>
        <v>Gene4023-tree</v>
      </c>
      <c r="K901">
        <v>1</v>
      </c>
      <c r="L901">
        <v>4</v>
      </c>
      <c r="M901">
        <v>1</v>
      </c>
      <c r="N901">
        <v>4</v>
      </c>
      <c r="O901">
        <v>0.8</v>
      </c>
      <c r="P901" t="s">
        <v>65</v>
      </c>
      <c r="Q901" t="s">
        <v>64</v>
      </c>
      <c r="R901" t="s">
        <v>66</v>
      </c>
      <c r="S901" t="s">
        <v>66</v>
      </c>
      <c r="T901">
        <v>1</v>
      </c>
      <c r="U901">
        <v>3</v>
      </c>
      <c r="V901">
        <v>4</v>
      </c>
      <c r="W901">
        <v>0.42857000000000001</v>
      </c>
      <c r="X901">
        <v>0</v>
      </c>
      <c r="Y901">
        <v>0</v>
      </c>
      <c r="Z901">
        <v>0</v>
      </c>
      <c r="AA901">
        <v>1</v>
      </c>
      <c r="AB901">
        <v>0</v>
      </c>
      <c r="AC901">
        <v>2</v>
      </c>
      <c r="AD901">
        <v>1</v>
      </c>
      <c r="AE901">
        <v>3</v>
      </c>
      <c r="AF901">
        <v>3</v>
      </c>
      <c r="AG901">
        <v>0.5</v>
      </c>
      <c r="AH901">
        <v>5</v>
      </c>
      <c r="AI901">
        <v>1</v>
      </c>
      <c r="AJ901">
        <v>6</v>
      </c>
      <c r="AK901">
        <v>6</v>
      </c>
      <c r="AL901">
        <v>4</v>
      </c>
      <c r="AM901">
        <v>1</v>
      </c>
      <c r="AN901" t="s">
        <v>3989</v>
      </c>
      <c r="AO901" t="s">
        <v>3990</v>
      </c>
      <c r="AP901">
        <v>2.161</v>
      </c>
      <c r="AQ901" t="s">
        <v>239</v>
      </c>
      <c r="AR901">
        <v>10</v>
      </c>
      <c r="AS901">
        <v>7</v>
      </c>
      <c r="AT901">
        <v>2.0289999999999999E-2</v>
      </c>
      <c r="AU901">
        <v>-2.2499999999999998E-3</v>
      </c>
      <c r="AV901">
        <v>6.4320000000000002E-2</v>
      </c>
      <c r="AW901">
        <v>-1.0529999999999999E-2</v>
      </c>
      <c r="AX901">
        <v>8.9700000000000005E-3</v>
      </c>
      <c r="AY901">
        <v>-1.32E-3</v>
      </c>
      <c r="AZ901">
        <v>0.13944999999999999</v>
      </c>
      <c r="BA901">
        <v>1</v>
      </c>
      <c r="BB901" t="s">
        <v>70</v>
      </c>
      <c r="BC901">
        <v>0.30399999999999999</v>
      </c>
      <c r="BD901">
        <v>0.30399999999999999</v>
      </c>
      <c r="BE901" t="s">
        <v>71</v>
      </c>
    </row>
    <row r="902" spans="1:57">
      <c r="A902">
        <v>4029</v>
      </c>
      <c r="B902" t="s">
        <v>4012</v>
      </c>
      <c r="D902" t="s">
        <v>66</v>
      </c>
      <c r="E902" t="s">
        <v>4013</v>
      </c>
      <c r="F902" t="s">
        <v>4014</v>
      </c>
      <c r="G902">
        <v>278</v>
      </c>
      <c r="H902" t="s">
        <v>106</v>
      </c>
      <c r="I902">
        <v>4</v>
      </c>
      <c r="J902" t="str">
        <f>HYPERLINK("Gene4029-zp_tree_all.dnd", "Gene4029-tree")</f>
        <v>Gene4029-tree</v>
      </c>
      <c r="K902">
        <v>1</v>
      </c>
      <c r="L902">
        <v>3</v>
      </c>
      <c r="M902">
        <v>1</v>
      </c>
      <c r="N902">
        <v>3</v>
      </c>
      <c r="O902">
        <v>0.75</v>
      </c>
      <c r="P902" t="s">
        <v>65</v>
      </c>
      <c r="Q902" t="s">
        <v>86</v>
      </c>
      <c r="R902" t="s">
        <v>66</v>
      </c>
      <c r="S902" t="s">
        <v>66</v>
      </c>
      <c r="T902">
        <v>1</v>
      </c>
      <c r="U902">
        <v>2</v>
      </c>
      <c r="V902">
        <v>5</v>
      </c>
      <c r="W902">
        <v>0.28571000000000002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2</v>
      </c>
      <c r="AD902">
        <v>0</v>
      </c>
      <c r="AE902">
        <v>2</v>
      </c>
      <c r="AF902">
        <v>5</v>
      </c>
      <c r="AG902">
        <v>0.28571000000000002</v>
      </c>
      <c r="AH902">
        <v>4</v>
      </c>
      <c r="AI902">
        <v>1</v>
      </c>
      <c r="AJ902">
        <v>41</v>
      </c>
      <c r="AK902">
        <v>6</v>
      </c>
      <c r="AL902">
        <v>4</v>
      </c>
      <c r="AM902">
        <v>1</v>
      </c>
      <c r="AN902" t="s">
        <v>4015</v>
      </c>
      <c r="AO902" t="s">
        <v>4016</v>
      </c>
      <c r="AP902">
        <v>1.3</v>
      </c>
      <c r="AQ902" t="s">
        <v>69</v>
      </c>
      <c r="AR902">
        <v>45</v>
      </c>
      <c r="AS902">
        <v>7</v>
      </c>
      <c r="AT902">
        <v>2.9780000000000001E-2</v>
      </c>
      <c r="AU902">
        <v>-5.1599999999999997E-3</v>
      </c>
      <c r="AV902">
        <v>0.13213</v>
      </c>
      <c r="AW902">
        <v>-2.6190000000000001E-2</v>
      </c>
      <c r="AX902">
        <v>5.1200000000000004E-3</v>
      </c>
      <c r="AY902">
        <v>-5.9000000000000003E-4</v>
      </c>
      <c r="AZ902">
        <v>3.8769999999999999E-2</v>
      </c>
      <c r="BA902">
        <v>1</v>
      </c>
      <c r="BB902" t="s">
        <v>70</v>
      </c>
      <c r="BC902">
        <v>-0.107</v>
      </c>
      <c r="BD902">
        <v>-0.52100000000000002</v>
      </c>
      <c r="BE902" t="s">
        <v>71</v>
      </c>
    </row>
    <row r="903" spans="1:57">
      <c r="A903">
        <v>1535</v>
      </c>
      <c r="B903" t="s">
        <v>1557</v>
      </c>
      <c r="D903" t="s">
        <v>60</v>
      </c>
      <c r="E903" t="s">
        <v>1558</v>
      </c>
      <c r="F903" t="s">
        <v>74</v>
      </c>
      <c r="G903">
        <v>341</v>
      </c>
      <c r="H903" t="s">
        <v>63</v>
      </c>
      <c r="I903">
        <v>5</v>
      </c>
      <c r="J903" t="str">
        <f>HYPERLINK("Gene1535-zp_tree_all.dnd", "Gene1535-tree")</f>
        <v>Gene1535-tree</v>
      </c>
      <c r="K903">
        <v>1</v>
      </c>
      <c r="L903">
        <v>4</v>
      </c>
      <c r="M903">
        <v>1</v>
      </c>
      <c r="N903">
        <v>4</v>
      </c>
      <c r="O903">
        <v>0.8</v>
      </c>
      <c r="P903" t="s">
        <v>65</v>
      </c>
      <c r="Q903" t="s">
        <v>64</v>
      </c>
      <c r="R903" t="s">
        <v>66</v>
      </c>
      <c r="S903" t="s">
        <v>66</v>
      </c>
      <c r="T903">
        <v>1</v>
      </c>
      <c r="U903">
        <v>3</v>
      </c>
      <c r="V903">
        <v>8</v>
      </c>
      <c r="W903">
        <v>0.27272999999999997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3</v>
      </c>
      <c r="AD903">
        <v>0</v>
      </c>
      <c r="AE903">
        <v>3</v>
      </c>
      <c r="AF903">
        <v>8</v>
      </c>
      <c r="AG903">
        <v>0.27272999999999997</v>
      </c>
      <c r="AH903">
        <v>5</v>
      </c>
      <c r="AI903">
        <v>2</v>
      </c>
      <c r="AJ903">
        <v>28</v>
      </c>
      <c r="AK903">
        <v>6</v>
      </c>
      <c r="AL903">
        <v>28</v>
      </c>
      <c r="AM903">
        <v>5</v>
      </c>
      <c r="AN903" t="s">
        <v>1559</v>
      </c>
      <c r="AO903" t="s">
        <v>1560</v>
      </c>
      <c r="AP903">
        <v>0.187</v>
      </c>
      <c r="AQ903" t="s">
        <v>69</v>
      </c>
      <c r="AR903">
        <v>56</v>
      </c>
      <c r="AS903">
        <v>11</v>
      </c>
      <c r="AT903">
        <v>3.1480000000000001E-2</v>
      </c>
      <c r="AU903">
        <v>-5.64E-3</v>
      </c>
      <c r="AV903">
        <v>0.13511999999999999</v>
      </c>
      <c r="AW903">
        <v>-2.4889999999999999E-2</v>
      </c>
      <c r="AX903">
        <v>6.0699999999999999E-3</v>
      </c>
      <c r="AY903">
        <v>-1.16E-3</v>
      </c>
      <c r="AZ903">
        <v>4.4929999999999998E-2</v>
      </c>
      <c r="BA903">
        <v>1</v>
      </c>
      <c r="BB903" t="s">
        <v>70</v>
      </c>
      <c r="BC903">
        <v>0.62</v>
      </c>
      <c r="BD903">
        <v>0.62</v>
      </c>
      <c r="BE903" t="s">
        <v>71</v>
      </c>
    </row>
    <row r="904" spans="1:57">
      <c r="A904">
        <v>3893</v>
      </c>
      <c r="B904" t="s">
        <v>3860</v>
      </c>
      <c r="D904" t="s">
        <v>60</v>
      </c>
      <c r="E904" t="s">
        <v>3861</v>
      </c>
      <c r="F904" t="s">
        <v>74</v>
      </c>
      <c r="G904">
        <v>225</v>
      </c>
      <c r="H904" t="s">
        <v>63</v>
      </c>
      <c r="I904">
        <v>5</v>
      </c>
      <c r="J904" t="str">
        <f>HYPERLINK("Gene3893-zp_tree_all.dnd", "Gene3893-tree")</f>
        <v>Gene3893-tree</v>
      </c>
      <c r="K904">
        <v>1</v>
      </c>
      <c r="L904">
        <v>4</v>
      </c>
      <c r="M904">
        <v>1</v>
      </c>
      <c r="N904">
        <v>4</v>
      </c>
      <c r="O904">
        <v>0.8</v>
      </c>
      <c r="P904" t="s">
        <v>65</v>
      </c>
      <c r="Q904" t="s">
        <v>64</v>
      </c>
      <c r="R904" t="s">
        <v>66</v>
      </c>
      <c r="S904" t="s">
        <v>66</v>
      </c>
      <c r="T904">
        <v>1</v>
      </c>
      <c r="U904">
        <v>3</v>
      </c>
      <c r="V904">
        <v>3</v>
      </c>
      <c r="W904">
        <v>0.5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3</v>
      </c>
      <c r="AD904">
        <v>0</v>
      </c>
      <c r="AE904">
        <v>3</v>
      </c>
      <c r="AF904">
        <v>3</v>
      </c>
      <c r="AG904">
        <v>0.5</v>
      </c>
      <c r="AH904">
        <v>5</v>
      </c>
      <c r="AI904">
        <v>2</v>
      </c>
      <c r="AJ904">
        <v>29</v>
      </c>
      <c r="AK904">
        <v>6</v>
      </c>
      <c r="AL904">
        <v>16</v>
      </c>
      <c r="AM904">
        <v>1</v>
      </c>
      <c r="AN904" t="s">
        <v>3862</v>
      </c>
      <c r="AO904" t="s">
        <v>3863</v>
      </c>
      <c r="AP904">
        <v>1.5660000000000001</v>
      </c>
      <c r="AQ904" t="s">
        <v>69</v>
      </c>
      <c r="AR904">
        <v>45</v>
      </c>
      <c r="AS904">
        <v>7</v>
      </c>
      <c r="AT904">
        <v>3.3779999999999998E-2</v>
      </c>
      <c r="AU904">
        <v>-3.2799999999999999E-3</v>
      </c>
      <c r="AV904">
        <v>0.12297</v>
      </c>
      <c r="AW904">
        <v>-1.256E-2</v>
      </c>
      <c r="AX904">
        <v>5.2700000000000004E-3</v>
      </c>
      <c r="AY904">
        <v>-9.6000000000000002E-4</v>
      </c>
      <c r="AZ904">
        <v>4.2869999999999998E-2</v>
      </c>
      <c r="BA904">
        <v>1</v>
      </c>
      <c r="BB904" t="s">
        <v>70</v>
      </c>
      <c r="BC904">
        <v>0.246</v>
      </c>
      <c r="BD904">
        <v>-9.6000000000000002E-2</v>
      </c>
      <c r="BE904" t="s">
        <v>71</v>
      </c>
    </row>
    <row r="905" spans="1:57">
      <c r="A905">
        <v>2502</v>
      </c>
      <c r="B905" t="s">
        <v>2480</v>
      </c>
      <c r="D905" t="s">
        <v>66</v>
      </c>
      <c r="E905" t="s">
        <v>2481</v>
      </c>
      <c r="F905" t="s">
        <v>74</v>
      </c>
      <c r="G905">
        <v>291</v>
      </c>
      <c r="H905" t="s">
        <v>63</v>
      </c>
      <c r="I905">
        <v>5</v>
      </c>
      <c r="J905" t="str">
        <f>HYPERLINK("Gene2502-zp_tree_all.dnd", "Gene2502-tree")</f>
        <v>Gene2502-tree</v>
      </c>
      <c r="K905">
        <v>1</v>
      </c>
      <c r="L905">
        <v>4</v>
      </c>
      <c r="M905">
        <v>1</v>
      </c>
      <c r="N905">
        <v>4</v>
      </c>
      <c r="O905">
        <v>0.8</v>
      </c>
      <c r="P905" t="s">
        <v>65</v>
      </c>
      <c r="Q905" t="s">
        <v>64</v>
      </c>
      <c r="R905" t="s">
        <v>66</v>
      </c>
      <c r="S905" t="s">
        <v>66</v>
      </c>
      <c r="T905">
        <v>2</v>
      </c>
      <c r="U905">
        <v>4</v>
      </c>
      <c r="V905">
        <v>7</v>
      </c>
      <c r="W905">
        <v>0.36364000000000002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4</v>
      </c>
      <c r="AD905">
        <v>0</v>
      </c>
      <c r="AE905">
        <v>4</v>
      </c>
      <c r="AF905">
        <v>7</v>
      </c>
      <c r="AG905">
        <v>0.36364000000000002</v>
      </c>
      <c r="AH905">
        <v>5</v>
      </c>
      <c r="AI905">
        <v>2</v>
      </c>
      <c r="AJ905">
        <v>29</v>
      </c>
      <c r="AK905">
        <v>8</v>
      </c>
      <c r="AL905">
        <v>32</v>
      </c>
      <c r="AM905">
        <v>3</v>
      </c>
      <c r="AN905" t="s">
        <v>2482</v>
      </c>
      <c r="AO905" t="s">
        <v>2483</v>
      </c>
      <c r="AP905">
        <v>1.8660000000000001</v>
      </c>
      <c r="AQ905" t="s">
        <v>69</v>
      </c>
      <c r="AR905">
        <v>61</v>
      </c>
      <c r="AS905">
        <v>11</v>
      </c>
      <c r="AT905">
        <v>3.746E-2</v>
      </c>
      <c r="AU905">
        <v>-5.3E-3</v>
      </c>
      <c r="AV905">
        <v>0.15753</v>
      </c>
      <c r="AW905">
        <v>-2.555E-2</v>
      </c>
      <c r="AX905">
        <v>6.6100000000000004E-3</v>
      </c>
      <c r="AY905">
        <v>-6.4999999999999997E-4</v>
      </c>
      <c r="AZ905">
        <v>4.197E-2</v>
      </c>
      <c r="BA905">
        <v>1</v>
      </c>
      <c r="BB905" t="s">
        <v>70</v>
      </c>
      <c r="BC905">
        <v>1.024</v>
      </c>
      <c r="BD905">
        <v>0.26300000000000001</v>
      </c>
      <c r="BE905" t="s">
        <v>71</v>
      </c>
    </row>
    <row r="906" spans="1:57">
      <c r="A906">
        <v>4024</v>
      </c>
      <c r="B906" t="s">
        <v>3991</v>
      </c>
      <c r="D906" t="s">
        <v>66</v>
      </c>
      <c r="E906" t="s">
        <v>3992</v>
      </c>
      <c r="F906" t="s">
        <v>657</v>
      </c>
      <c r="G906">
        <v>622</v>
      </c>
      <c r="H906" t="s">
        <v>63</v>
      </c>
      <c r="I906">
        <v>5</v>
      </c>
      <c r="J906" t="str">
        <f>HYPERLINK("Gene4024-zp_tree_all.dnd", "Gene4024-tree")</f>
        <v>Gene4024-tree</v>
      </c>
      <c r="K906">
        <v>1</v>
      </c>
      <c r="L906">
        <v>4</v>
      </c>
      <c r="M906">
        <v>1</v>
      </c>
      <c r="N906">
        <v>4</v>
      </c>
      <c r="O906">
        <v>0.8</v>
      </c>
      <c r="P906" t="s">
        <v>65</v>
      </c>
      <c r="Q906" t="s">
        <v>64</v>
      </c>
      <c r="R906" t="s">
        <v>66</v>
      </c>
      <c r="S906" t="s">
        <v>66</v>
      </c>
      <c r="T906">
        <v>4</v>
      </c>
      <c r="U906">
        <v>8</v>
      </c>
      <c r="V906">
        <v>26</v>
      </c>
      <c r="W906">
        <v>0.23529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4</v>
      </c>
      <c r="AD906">
        <v>4</v>
      </c>
      <c r="AE906">
        <v>8</v>
      </c>
      <c r="AF906">
        <v>26</v>
      </c>
      <c r="AG906">
        <v>0.23529</v>
      </c>
      <c r="AH906">
        <v>5</v>
      </c>
      <c r="AI906">
        <v>2</v>
      </c>
      <c r="AJ906">
        <v>78</v>
      </c>
      <c r="AK906">
        <v>29</v>
      </c>
      <c r="AL906">
        <v>18</v>
      </c>
      <c r="AM906">
        <v>8</v>
      </c>
      <c r="AN906" t="s">
        <v>3993</v>
      </c>
      <c r="AO906" t="s">
        <v>3994</v>
      </c>
      <c r="AP906">
        <v>0.27700000000000002</v>
      </c>
      <c r="AQ906" t="s">
        <v>69</v>
      </c>
      <c r="AR906">
        <v>96</v>
      </c>
      <c r="AS906">
        <v>37</v>
      </c>
      <c r="AT906">
        <v>2.947E-2</v>
      </c>
      <c r="AU906">
        <v>-4.0400000000000002E-3</v>
      </c>
      <c r="AV906">
        <v>9.8159999999999997E-2</v>
      </c>
      <c r="AW906">
        <v>-1.329E-2</v>
      </c>
      <c r="AX906">
        <v>1.0869999999999999E-2</v>
      </c>
      <c r="AY906">
        <v>-1.8600000000000001E-3</v>
      </c>
      <c r="AZ906">
        <v>0.11069</v>
      </c>
      <c r="BA906">
        <v>1</v>
      </c>
      <c r="BB906" t="s">
        <v>70</v>
      </c>
      <c r="BC906">
        <v>-0.40400000000000003</v>
      </c>
      <c r="BD906">
        <v>-0.71799999999999997</v>
      </c>
      <c r="BE906" t="s">
        <v>71</v>
      </c>
    </row>
    <row r="907" spans="1:57">
      <c r="A907">
        <v>654</v>
      </c>
      <c r="B907" t="s">
        <v>848</v>
      </c>
      <c r="D907" t="s">
        <v>60</v>
      </c>
      <c r="E907" t="s">
        <v>849</v>
      </c>
      <c r="F907" t="s">
        <v>850</v>
      </c>
      <c r="G907">
        <v>380</v>
      </c>
      <c r="H907" t="s">
        <v>85</v>
      </c>
      <c r="I907">
        <v>4</v>
      </c>
      <c r="J907" t="str">
        <f>HYPERLINK("Gene654-zp_tree_all.dnd", "Gene654-tree")</f>
        <v>Gene654-tree</v>
      </c>
      <c r="K907">
        <v>0</v>
      </c>
      <c r="L907">
        <v>4</v>
      </c>
      <c r="M907">
        <v>0</v>
      </c>
      <c r="N907">
        <v>4</v>
      </c>
      <c r="O907">
        <v>1</v>
      </c>
      <c r="P907" t="s">
        <v>66</v>
      </c>
      <c r="Q907" t="s">
        <v>64</v>
      </c>
      <c r="R907" t="s">
        <v>66</v>
      </c>
      <c r="S907" t="s">
        <v>66</v>
      </c>
      <c r="T907">
        <v>4</v>
      </c>
      <c r="U907">
        <v>8</v>
      </c>
      <c r="V907">
        <v>18</v>
      </c>
      <c r="W907">
        <v>0.30769000000000002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6</v>
      </c>
      <c r="AD907">
        <v>2</v>
      </c>
      <c r="AE907">
        <v>8</v>
      </c>
      <c r="AF907">
        <v>18</v>
      </c>
      <c r="AG907">
        <v>0.30769000000000002</v>
      </c>
      <c r="AH907">
        <v>4</v>
      </c>
      <c r="AI907">
        <v>1</v>
      </c>
      <c r="AJ907">
        <v>50</v>
      </c>
      <c r="AK907">
        <v>28</v>
      </c>
      <c r="AL907">
        <v>5</v>
      </c>
      <c r="AM907">
        <v>1</v>
      </c>
      <c r="AN907" t="s">
        <v>851</v>
      </c>
      <c r="AO907" t="s">
        <v>852</v>
      </c>
      <c r="AP907">
        <v>1.0920000000000001</v>
      </c>
      <c r="AQ907" t="s">
        <v>69</v>
      </c>
      <c r="AR907">
        <v>55</v>
      </c>
      <c r="AS907">
        <v>29</v>
      </c>
      <c r="AT907">
        <v>3.567E-2</v>
      </c>
      <c r="AU907">
        <v>-7.1199999999999996E-3</v>
      </c>
      <c r="AV907">
        <v>0.11611</v>
      </c>
      <c r="AW907">
        <v>-2.5940000000000001E-2</v>
      </c>
      <c r="AX907">
        <v>1.566E-2</v>
      </c>
      <c r="AY907">
        <v>-2.8500000000000001E-3</v>
      </c>
      <c r="AZ907">
        <v>0.13489999999999999</v>
      </c>
      <c r="BA907">
        <v>1</v>
      </c>
      <c r="BB907" t="s">
        <v>70</v>
      </c>
      <c r="BC907">
        <v>-0.33200000000000002</v>
      </c>
      <c r="BD907">
        <v>-0.57999999999999996</v>
      </c>
      <c r="BE907" t="s">
        <v>71</v>
      </c>
    </row>
    <row r="908" spans="1:57">
      <c r="A908">
        <v>3083</v>
      </c>
      <c r="B908" t="s">
        <v>3087</v>
      </c>
      <c r="D908" t="s">
        <v>66</v>
      </c>
      <c r="E908" t="s">
        <v>3088</v>
      </c>
      <c r="F908" t="s">
        <v>3089</v>
      </c>
      <c r="G908">
        <v>804</v>
      </c>
      <c r="H908" t="s">
        <v>63</v>
      </c>
      <c r="I908">
        <v>5</v>
      </c>
      <c r="J908" t="str">
        <f>HYPERLINK("Gene3083-zp_tree_all.dnd", "Gene3083-tree")</f>
        <v>Gene3083-tree</v>
      </c>
      <c r="K908">
        <v>1</v>
      </c>
      <c r="L908">
        <v>4</v>
      </c>
      <c r="M908">
        <v>1</v>
      </c>
      <c r="N908">
        <v>4</v>
      </c>
      <c r="O908">
        <v>0.8</v>
      </c>
      <c r="P908" t="s">
        <v>65</v>
      </c>
      <c r="Q908" t="s">
        <v>64</v>
      </c>
      <c r="R908" t="s">
        <v>66</v>
      </c>
      <c r="S908" t="s">
        <v>66</v>
      </c>
      <c r="T908">
        <v>3</v>
      </c>
      <c r="U908">
        <v>6</v>
      </c>
      <c r="V908">
        <v>18</v>
      </c>
      <c r="W908">
        <v>0.25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6</v>
      </c>
      <c r="AD908">
        <v>0</v>
      </c>
      <c r="AE908">
        <v>6</v>
      </c>
      <c r="AF908">
        <v>18</v>
      </c>
      <c r="AG908">
        <v>0.25</v>
      </c>
      <c r="AH908">
        <v>5</v>
      </c>
      <c r="AI908">
        <v>2</v>
      </c>
      <c r="AJ908">
        <v>78</v>
      </c>
      <c r="AK908">
        <v>14</v>
      </c>
      <c r="AL908">
        <v>76</v>
      </c>
      <c r="AM908">
        <v>10</v>
      </c>
      <c r="AN908" t="s">
        <v>3090</v>
      </c>
      <c r="AO908" t="s">
        <v>3091</v>
      </c>
      <c r="AP908">
        <v>0.36499999999999999</v>
      </c>
      <c r="AQ908" t="s">
        <v>69</v>
      </c>
      <c r="AR908">
        <v>154</v>
      </c>
      <c r="AS908">
        <v>24</v>
      </c>
      <c r="AT908">
        <v>3.5279999999999999E-2</v>
      </c>
      <c r="AU908">
        <v>-5.3600000000000002E-3</v>
      </c>
      <c r="AV908">
        <v>0.15518999999999999</v>
      </c>
      <c r="AW908">
        <v>-2.5219999999999999E-2</v>
      </c>
      <c r="AX908">
        <v>5.5999999999999999E-3</v>
      </c>
      <c r="AY908">
        <v>-8.3000000000000001E-4</v>
      </c>
      <c r="AZ908">
        <v>3.6089999999999997E-2</v>
      </c>
      <c r="BA908">
        <v>1</v>
      </c>
      <c r="BB908" t="s">
        <v>70</v>
      </c>
      <c r="BC908">
        <v>0.42199999999999999</v>
      </c>
      <c r="BD908">
        <v>0.24199999999999999</v>
      </c>
      <c r="BE908" t="s">
        <v>71</v>
      </c>
    </row>
    <row r="909" spans="1:57">
      <c r="A909">
        <v>3983</v>
      </c>
      <c r="B909" t="s">
        <v>3936</v>
      </c>
      <c r="D909" t="s">
        <v>66</v>
      </c>
      <c r="E909" t="s">
        <v>3937</v>
      </c>
      <c r="F909" t="s">
        <v>3938</v>
      </c>
      <c r="G909">
        <v>2334</v>
      </c>
      <c r="H909" t="s">
        <v>106</v>
      </c>
      <c r="I909">
        <v>4</v>
      </c>
      <c r="J909" t="str">
        <f>HYPERLINK("Gene3983-zp_tree_all.dnd", "Gene3983-tree")</f>
        <v>Gene3983-tree</v>
      </c>
      <c r="K909">
        <v>0</v>
      </c>
      <c r="L909">
        <v>4</v>
      </c>
      <c r="M909">
        <v>0</v>
      </c>
      <c r="N909">
        <v>4</v>
      </c>
      <c r="O909">
        <v>1</v>
      </c>
      <c r="P909" t="s">
        <v>66</v>
      </c>
      <c r="Q909" t="s">
        <v>64</v>
      </c>
      <c r="R909" t="s">
        <v>66</v>
      </c>
      <c r="S909" t="s">
        <v>66</v>
      </c>
      <c r="T909">
        <v>8</v>
      </c>
      <c r="U909">
        <v>17</v>
      </c>
      <c r="V909">
        <v>71</v>
      </c>
      <c r="W909">
        <v>0.19317999999999999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8</v>
      </c>
      <c r="AD909">
        <v>9</v>
      </c>
      <c r="AE909">
        <v>17</v>
      </c>
      <c r="AF909">
        <v>71</v>
      </c>
      <c r="AG909">
        <v>0.19317999999999999</v>
      </c>
      <c r="AH909">
        <v>4</v>
      </c>
      <c r="AI909">
        <v>1</v>
      </c>
      <c r="AJ909">
        <v>438</v>
      </c>
      <c r="AK909">
        <v>87</v>
      </c>
      <c r="AL909">
        <v>38</v>
      </c>
      <c r="AM909">
        <v>3</v>
      </c>
      <c r="AN909" t="s">
        <v>3939</v>
      </c>
      <c r="AO909" t="s">
        <v>3940</v>
      </c>
      <c r="AP909">
        <v>2.028</v>
      </c>
      <c r="AQ909" t="s">
        <v>239</v>
      </c>
      <c r="AR909">
        <v>476</v>
      </c>
      <c r="AS909">
        <v>90</v>
      </c>
      <c r="AT909">
        <v>4.0149999999999998E-2</v>
      </c>
      <c r="AU909">
        <v>-4.62E-3</v>
      </c>
      <c r="AV909">
        <v>0.16519</v>
      </c>
      <c r="AW909">
        <v>-2.0480000000000002E-2</v>
      </c>
      <c r="AX909">
        <v>8.3899999999999999E-3</v>
      </c>
      <c r="AY909">
        <v>-1.1199999999999999E-3</v>
      </c>
      <c r="AZ909">
        <v>5.0770000000000003E-2</v>
      </c>
      <c r="BA909">
        <v>1</v>
      </c>
      <c r="BB909" t="s">
        <v>70</v>
      </c>
      <c r="BC909">
        <v>-0.129</v>
      </c>
      <c r="BD909">
        <v>-0.45700000000000002</v>
      </c>
      <c r="BE909" t="s">
        <v>71</v>
      </c>
    </row>
    <row r="910" spans="1:57">
      <c r="A910">
        <v>3</v>
      </c>
      <c r="B910" t="s">
        <v>72</v>
      </c>
      <c r="D910" t="s">
        <v>60</v>
      </c>
      <c r="E910" t="s">
        <v>73</v>
      </c>
      <c r="F910" t="s">
        <v>74</v>
      </c>
      <c r="G910">
        <v>71</v>
      </c>
      <c r="H910" t="s">
        <v>63</v>
      </c>
      <c r="I910">
        <v>5</v>
      </c>
      <c r="J910" t="str">
        <f>HYPERLINK("Gene3-zp_tree_all.dnd", "Gene3-tree")</f>
        <v>Gene3-tree</v>
      </c>
      <c r="L910" t="s">
        <v>71</v>
      </c>
    </row>
    <row r="911" spans="1:57">
      <c r="A911">
        <v>5</v>
      </c>
      <c r="B911" t="s">
        <v>80</v>
      </c>
      <c r="D911" t="s">
        <v>60</v>
      </c>
      <c r="E911" t="s">
        <v>81</v>
      </c>
      <c r="F911" t="s">
        <v>74</v>
      </c>
      <c r="G911">
        <v>81</v>
      </c>
      <c r="H911" t="s">
        <v>63</v>
      </c>
      <c r="I911">
        <v>5</v>
      </c>
      <c r="J911" t="str">
        <f>HYPERLINK("Gene5-zp_tree_all.dnd", "Gene5-tree")</f>
        <v>Gene5-tree</v>
      </c>
      <c r="L911" t="s">
        <v>71</v>
      </c>
    </row>
    <row r="912" spans="1:57">
      <c r="A912">
        <v>20</v>
      </c>
      <c r="B912" t="s">
        <v>103</v>
      </c>
      <c r="D912" t="s">
        <v>60</v>
      </c>
      <c r="E912" t="s">
        <v>104</v>
      </c>
      <c r="F912" t="s">
        <v>105</v>
      </c>
      <c r="G912">
        <v>107</v>
      </c>
      <c r="H912" t="s">
        <v>106</v>
      </c>
      <c r="I912">
        <v>4</v>
      </c>
      <c r="J912" t="str">
        <f>HYPERLINK("Gene20-zp_tree_all.dnd", "Gene20-tree")</f>
        <v>Gene20-tree</v>
      </c>
      <c r="L912" t="s">
        <v>71</v>
      </c>
    </row>
    <row r="913" spans="1:12">
      <c r="A913">
        <v>24</v>
      </c>
      <c r="B913" t="s">
        <v>115</v>
      </c>
      <c r="D913" t="s">
        <v>60</v>
      </c>
      <c r="E913" t="s">
        <v>116</v>
      </c>
      <c r="F913" t="s">
        <v>117</v>
      </c>
      <c r="G913">
        <v>64</v>
      </c>
      <c r="H913" t="s">
        <v>63</v>
      </c>
      <c r="I913">
        <v>5</v>
      </c>
      <c r="J913" t="str">
        <f>HYPERLINK("Gene24-zp_tree_all.dnd", "Gene24-tree")</f>
        <v>Gene24-tree</v>
      </c>
      <c r="L913" t="s">
        <v>71</v>
      </c>
    </row>
    <row r="914" spans="1:12">
      <c r="A914">
        <v>37</v>
      </c>
      <c r="B914" t="s">
        <v>136</v>
      </c>
      <c r="D914" t="s">
        <v>66</v>
      </c>
      <c r="E914" t="s">
        <v>137</v>
      </c>
      <c r="F914" t="s">
        <v>138</v>
      </c>
      <c r="G914">
        <v>96</v>
      </c>
      <c r="H914" t="s">
        <v>63</v>
      </c>
      <c r="I914">
        <v>5</v>
      </c>
      <c r="J914" t="str">
        <f>HYPERLINK("Gene37-zp_tree_all.dnd", "Gene37-tree")</f>
        <v>Gene37-tree</v>
      </c>
      <c r="L914" t="s">
        <v>139</v>
      </c>
    </row>
    <row r="915" spans="1:12">
      <c r="A915">
        <v>44</v>
      </c>
      <c r="B915" t="s">
        <v>149</v>
      </c>
      <c r="D915" t="s">
        <v>60</v>
      </c>
      <c r="E915" t="s">
        <v>150</v>
      </c>
      <c r="F915" t="s">
        <v>151</v>
      </c>
      <c r="G915">
        <v>86</v>
      </c>
      <c r="H915" t="s">
        <v>63</v>
      </c>
      <c r="I915">
        <v>5</v>
      </c>
      <c r="J915" t="str">
        <f>HYPERLINK("Gene44-zp_tree_all.dnd", "Gene44-tree")</f>
        <v>Gene44-tree</v>
      </c>
      <c r="L915" t="s">
        <v>71</v>
      </c>
    </row>
    <row r="916" spans="1:12">
      <c r="A916">
        <v>56</v>
      </c>
      <c r="B916" t="s">
        <v>189</v>
      </c>
      <c r="D916" t="s">
        <v>60</v>
      </c>
      <c r="E916" t="s">
        <v>190</v>
      </c>
      <c r="F916" t="s">
        <v>191</v>
      </c>
      <c r="G916">
        <v>178</v>
      </c>
      <c r="H916" t="s">
        <v>85</v>
      </c>
      <c r="I916">
        <v>4</v>
      </c>
      <c r="J916" t="str">
        <f>HYPERLINK("Gene56-zp_tree_all.dnd", "Gene56-tree")</f>
        <v>Gene56-tree</v>
      </c>
      <c r="L916" t="s">
        <v>71</v>
      </c>
    </row>
    <row r="917" spans="1:12">
      <c r="A917">
        <v>60</v>
      </c>
      <c r="B917" t="s">
        <v>192</v>
      </c>
      <c r="D917" t="s">
        <v>60</v>
      </c>
      <c r="E917" t="s">
        <v>193</v>
      </c>
      <c r="F917" t="s">
        <v>194</v>
      </c>
      <c r="G917">
        <v>100</v>
      </c>
      <c r="H917" t="s">
        <v>63</v>
      </c>
      <c r="I917">
        <v>5</v>
      </c>
      <c r="J917" t="str">
        <f>HYPERLINK("Gene60-zp_tree_all.dnd", "Gene60-tree")</f>
        <v>Gene60-tree</v>
      </c>
      <c r="L917" t="s">
        <v>71</v>
      </c>
    </row>
    <row r="918" spans="1:12">
      <c r="A918">
        <v>63</v>
      </c>
      <c r="B918" t="s">
        <v>205</v>
      </c>
      <c r="D918" t="s">
        <v>60</v>
      </c>
      <c r="E918" t="s">
        <v>206</v>
      </c>
      <c r="F918" t="s">
        <v>74</v>
      </c>
      <c r="G918">
        <v>128</v>
      </c>
      <c r="H918" t="s">
        <v>63</v>
      </c>
      <c r="I918">
        <v>5</v>
      </c>
      <c r="J918" t="str">
        <f>HYPERLINK("Gene63-zp_tree_all.dnd", "Gene63-tree")</f>
        <v>Gene63-tree</v>
      </c>
      <c r="L918" t="s">
        <v>71</v>
      </c>
    </row>
    <row r="919" spans="1:12">
      <c r="A919">
        <v>99</v>
      </c>
      <c r="B919" t="s">
        <v>305</v>
      </c>
      <c r="D919" t="s">
        <v>60</v>
      </c>
      <c r="E919" t="s">
        <v>306</v>
      </c>
      <c r="F919" t="s">
        <v>307</v>
      </c>
      <c r="G919">
        <v>49</v>
      </c>
      <c r="H919" t="s">
        <v>63</v>
      </c>
      <c r="I919">
        <v>5</v>
      </c>
      <c r="J919" t="str">
        <f>HYPERLINK("Gene99-zp_tree_all.dnd", "Gene99-tree")</f>
        <v>Gene99-tree</v>
      </c>
      <c r="L919" t="s">
        <v>71</v>
      </c>
    </row>
    <row r="920" spans="1:12">
      <c r="A920">
        <v>99</v>
      </c>
      <c r="B920" t="s">
        <v>305</v>
      </c>
      <c r="D920" t="s">
        <v>60</v>
      </c>
      <c r="E920" t="s">
        <v>306</v>
      </c>
      <c r="F920" t="s">
        <v>307</v>
      </c>
      <c r="G920">
        <v>49</v>
      </c>
      <c r="H920" t="s">
        <v>63</v>
      </c>
      <c r="I920">
        <v>5</v>
      </c>
      <c r="J920" t="str">
        <f>HYPERLINK("Gene99-zp_tree_all.dnd", "Gene99-tree")</f>
        <v>Gene99-tree</v>
      </c>
      <c r="L920" t="s">
        <v>71</v>
      </c>
    </row>
    <row r="921" spans="1:12">
      <c r="A921">
        <v>100</v>
      </c>
      <c r="B921" t="s">
        <v>308</v>
      </c>
      <c r="D921" t="s">
        <v>60</v>
      </c>
      <c r="E921" t="s">
        <v>309</v>
      </c>
      <c r="F921" t="s">
        <v>310</v>
      </c>
      <c r="G921">
        <v>59</v>
      </c>
      <c r="H921" t="s">
        <v>63</v>
      </c>
      <c r="I921">
        <v>5</v>
      </c>
      <c r="J921" t="str">
        <f>HYPERLINK("Gene100-zp_tree_all.dnd", "Gene100-tree")</f>
        <v>Gene100-tree</v>
      </c>
      <c r="L921" t="s">
        <v>71</v>
      </c>
    </row>
    <row r="922" spans="1:12">
      <c r="A922">
        <v>104</v>
      </c>
      <c r="B922" t="s">
        <v>321</v>
      </c>
      <c r="D922" t="s">
        <v>60</v>
      </c>
      <c r="E922" t="s">
        <v>322</v>
      </c>
      <c r="F922" t="s">
        <v>323</v>
      </c>
      <c r="G922">
        <v>166</v>
      </c>
      <c r="H922" t="s">
        <v>85</v>
      </c>
      <c r="I922">
        <v>4</v>
      </c>
      <c r="J922" t="str">
        <f>HYPERLINK("Gene104-zp_tree_all.dnd", "Gene104-tree")</f>
        <v>Gene104-tree</v>
      </c>
      <c r="L922" t="s">
        <v>71</v>
      </c>
    </row>
    <row r="923" spans="1:12">
      <c r="A923">
        <v>115</v>
      </c>
      <c r="B923" t="s">
        <v>361</v>
      </c>
      <c r="D923" t="s">
        <v>60</v>
      </c>
      <c r="E923" t="s">
        <v>362</v>
      </c>
      <c r="F923" t="s">
        <v>363</v>
      </c>
      <c r="G923">
        <v>102</v>
      </c>
      <c r="H923" t="s">
        <v>63</v>
      </c>
      <c r="I923">
        <v>5</v>
      </c>
      <c r="J923" t="str">
        <f>HYPERLINK("Gene115-zp_tree_all.dnd", "Gene115-tree")</f>
        <v>Gene115-tree</v>
      </c>
      <c r="L923" t="s">
        <v>71</v>
      </c>
    </row>
    <row r="924" spans="1:12">
      <c r="A924">
        <v>120</v>
      </c>
      <c r="B924" t="s">
        <v>378</v>
      </c>
      <c r="D924" t="s">
        <v>60</v>
      </c>
      <c r="E924" t="s">
        <v>379</v>
      </c>
      <c r="F924" t="s">
        <v>380</v>
      </c>
      <c r="G924">
        <v>92</v>
      </c>
      <c r="H924" t="s">
        <v>63</v>
      </c>
      <c r="I924">
        <v>5</v>
      </c>
      <c r="J924" t="str">
        <f>HYPERLINK("Gene120-zp_tree_all.dnd", "Gene120-tree")</f>
        <v>Gene120-tree</v>
      </c>
      <c r="L924" t="s">
        <v>71</v>
      </c>
    </row>
    <row r="925" spans="1:12">
      <c r="A925">
        <v>121</v>
      </c>
      <c r="B925" t="s">
        <v>381</v>
      </c>
      <c r="D925" t="s">
        <v>60</v>
      </c>
      <c r="E925" t="s">
        <v>382</v>
      </c>
      <c r="F925" t="s">
        <v>383</v>
      </c>
      <c r="G925">
        <v>113</v>
      </c>
      <c r="H925" t="s">
        <v>63</v>
      </c>
      <c r="I925">
        <v>5</v>
      </c>
      <c r="J925" t="str">
        <f>HYPERLINK("Gene121-zp_tree_all.dnd", "Gene121-tree")</f>
        <v>Gene121-tree</v>
      </c>
      <c r="L925" t="s">
        <v>71</v>
      </c>
    </row>
    <row r="926" spans="1:12">
      <c r="A926">
        <v>123</v>
      </c>
      <c r="B926" t="s">
        <v>389</v>
      </c>
      <c r="D926" t="s">
        <v>60</v>
      </c>
      <c r="E926" t="s">
        <v>390</v>
      </c>
      <c r="F926" t="s">
        <v>391</v>
      </c>
      <c r="G926">
        <v>144</v>
      </c>
      <c r="H926" t="s">
        <v>63</v>
      </c>
      <c r="I926">
        <v>5</v>
      </c>
      <c r="J926" t="str">
        <f>HYPERLINK("Gene123-zp_tree_all.dnd", "Gene123-tree")</f>
        <v>Gene123-tree</v>
      </c>
      <c r="L926" t="s">
        <v>71</v>
      </c>
    </row>
    <row r="927" spans="1:12">
      <c r="A927">
        <v>124</v>
      </c>
      <c r="B927" t="s">
        <v>392</v>
      </c>
      <c r="D927" t="s">
        <v>60</v>
      </c>
      <c r="E927" t="s">
        <v>393</v>
      </c>
      <c r="F927" t="s">
        <v>394</v>
      </c>
      <c r="G927">
        <v>66</v>
      </c>
      <c r="H927" t="s">
        <v>63</v>
      </c>
      <c r="I927">
        <v>5</v>
      </c>
      <c r="J927" t="str">
        <f>HYPERLINK("Gene124-zp_tree_all.dnd", "Gene124-tree")</f>
        <v>Gene124-tree</v>
      </c>
      <c r="L927" t="s">
        <v>71</v>
      </c>
    </row>
    <row r="928" spans="1:12">
      <c r="A928">
        <v>125</v>
      </c>
      <c r="B928" t="s">
        <v>395</v>
      </c>
      <c r="D928" t="s">
        <v>60</v>
      </c>
      <c r="E928" t="s">
        <v>396</v>
      </c>
      <c r="F928" t="s">
        <v>397</v>
      </c>
      <c r="G928">
        <v>87</v>
      </c>
      <c r="H928" t="s">
        <v>63</v>
      </c>
      <c r="I928">
        <v>5</v>
      </c>
      <c r="J928" t="str">
        <f>HYPERLINK("Gene125-zp_tree_all.dnd", "Gene125-tree")</f>
        <v>Gene125-tree</v>
      </c>
      <c r="L928" t="s">
        <v>71</v>
      </c>
    </row>
    <row r="929" spans="1:12">
      <c r="A929">
        <v>126</v>
      </c>
      <c r="B929" t="s">
        <v>398</v>
      </c>
      <c r="D929" t="s">
        <v>60</v>
      </c>
      <c r="E929" t="s">
        <v>399</v>
      </c>
      <c r="F929" t="s">
        <v>400</v>
      </c>
      <c r="G929">
        <v>122</v>
      </c>
      <c r="H929" t="s">
        <v>63</v>
      </c>
      <c r="I929">
        <v>5</v>
      </c>
      <c r="J929" t="str">
        <f>HYPERLINK("Gene126-zp_tree_all.dnd", "Gene126-tree")</f>
        <v>Gene126-tree</v>
      </c>
      <c r="L929" t="s">
        <v>71</v>
      </c>
    </row>
    <row r="930" spans="1:12">
      <c r="A930">
        <v>127</v>
      </c>
      <c r="B930" t="s">
        <v>401</v>
      </c>
      <c r="D930" t="s">
        <v>60</v>
      </c>
      <c r="E930" t="s">
        <v>402</v>
      </c>
      <c r="F930" t="s">
        <v>403</v>
      </c>
      <c r="G930">
        <v>103</v>
      </c>
      <c r="H930" t="s">
        <v>63</v>
      </c>
      <c r="I930">
        <v>5</v>
      </c>
      <c r="J930" t="str">
        <f>HYPERLINK("Gene127-zp_tree_all.dnd", "Gene127-tree")</f>
        <v>Gene127-tree</v>
      </c>
      <c r="L930" t="s">
        <v>71</v>
      </c>
    </row>
    <row r="931" spans="1:12">
      <c r="A931">
        <v>128</v>
      </c>
      <c r="B931" t="s">
        <v>404</v>
      </c>
      <c r="D931" t="s">
        <v>60</v>
      </c>
      <c r="E931" t="s">
        <v>405</v>
      </c>
      <c r="F931" t="s">
        <v>406</v>
      </c>
      <c r="G931">
        <v>179</v>
      </c>
      <c r="H931" t="s">
        <v>63</v>
      </c>
      <c r="I931">
        <v>5</v>
      </c>
      <c r="J931" t="str">
        <f>HYPERLINK("Gene128-zp_tree_all.dnd", "Gene128-tree")</f>
        <v>Gene128-tree</v>
      </c>
      <c r="L931" t="s">
        <v>71</v>
      </c>
    </row>
    <row r="932" spans="1:12">
      <c r="A932">
        <v>129</v>
      </c>
      <c r="B932" t="s">
        <v>407</v>
      </c>
      <c r="D932" t="s">
        <v>60</v>
      </c>
      <c r="E932" t="s">
        <v>408</v>
      </c>
      <c r="F932" t="s">
        <v>409</v>
      </c>
      <c r="G932">
        <v>61</v>
      </c>
      <c r="H932" t="s">
        <v>63</v>
      </c>
      <c r="I932">
        <v>5</v>
      </c>
      <c r="J932" t="str">
        <f>HYPERLINK("Gene129-zp_tree_all.dnd", "Gene129-tree")</f>
        <v>Gene129-tree</v>
      </c>
      <c r="L932" t="s">
        <v>71</v>
      </c>
    </row>
    <row r="933" spans="1:12">
      <c r="A933">
        <v>129</v>
      </c>
      <c r="B933" t="s">
        <v>407</v>
      </c>
      <c r="D933" t="s">
        <v>60</v>
      </c>
      <c r="E933" t="s">
        <v>408</v>
      </c>
      <c r="F933" t="s">
        <v>409</v>
      </c>
      <c r="G933">
        <v>61</v>
      </c>
      <c r="H933" t="s">
        <v>63</v>
      </c>
      <c r="I933">
        <v>5</v>
      </c>
      <c r="J933" t="str">
        <f>HYPERLINK("Gene129-zp_tree_all.dnd", "Gene129-tree")</f>
        <v>Gene129-tree</v>
      </c>
      <c r="L933" t="s">
        <v>71</v>
      </c>
    </row>
    <row r="934" spans="1:12">
      <c r="A934">
        <v>132</v>
      </c>
      <c r="B934" t="s">
        <v>419</v>
      </c>
      <c r="D934" t="s">
        <v>60</v>
      </c>
      <c r="E934" t="s">
        <v>420</v>
      </c>
      <c r="F934" t="s">
        <v>421</v>
      </c>
      <c r="G934">
        <v>120</v>
      </c>
      <c r="H934" t="s">
        <v>63</v>
      </c>
      <c r="I934">
        <v>5</v>
      </c>
      <c r="J934" t="str">
        <f>HYPERLINK("Gene132-zp_tree_all.dnd", "Gene132-tree")</f>
        <v>Gene132-tree</v>
      </c>
      <c r="L934" t="s">
        <v>71</v>
      </c>
    </row>
    <row r="935" spans="1:12">
      <c r="A935">
        <v>133</v>
      </c>
      <c r="B935" t="s">
        <v>422</v>
      </c>
      <c r="D935" t="s">
        <v>60</v>
      </c>
      <c r="E935" t="s">
        <v>423</v>
      </c>
      <c r="F935" t="s">
        <v>424</v>
      </c>
      <c r="G935">
        <v>166</v>
      </c>
      <c r="H935" t="s">
        <v>63</v>
      </c>
      <c r="I935">
        <v>5</v>
      </c>
      <c r="J935" t="str">
        <f>HYPERLINK("Gene133-zp_tree_all.dnd", "Gene133-tree")</f>
        <v>Gene133-tree</v>
      </c>
      <c r="L935" t="s">
        <v>71</v>
      </c>
    </row>
    <row r="936" spans="1:12">
      <c r="A936">
        <v>138</v>
      </c>
      <c r="B936" t="s">
        <v>441</v>
      </c>
      <c r="D936" t="s">
        <v>60</v>
      </c>
      <c r="E936" t="s">
        <v>442</v>
      </c>
      <c r="F936" t="s">
        <v>443</v>
      </c>
      <c r="G936">
        <v>248</v>
      </c>
      <c r="H936" t="s">
        <v>63</v>
      </c>
      <c r="I936">
        <v>5</v>
      </c>
      <c r="J936" t="str">
        <f>HYPERLINK("Gene138-zp_tree_all.dnd", "Gene138-tree")</f>
        <v>Gene138-tree</v>
      </c>
      <c r="L936" t="s">
        <v>71</v>
      </c>
    </row>
    <row r="937" spans="1:12">
      <c r="A937">
        <v>140</v>
      </c>
      <c r="B937" t="s">
        <v>444</v>
      </c>
      <c r="D937" t="s">
        <v>60</v>
      </c>
      <c r="E937" t="s">
        <v>445</v>
      </c>
      <c r="F937" t="s">
        <v>446</v>
      </c>
      <c r="G937">
        <v>72</v>
      </c>
      <c r="H937" t="s">
        <v>63</v>
      </c>
      <c r="I937">
        <v>5</v>
      </c>
      <c r="J937" t="str">
        <f>HYPERLINK("Gene140-zp_tree_all.dnd", "Gene140-tree")</f>
        <v>Gene140-tree</v>
      </c>
      <c r="L937" t="s">
        <v>71</v>
      </c>
    </row>
    <row r="938" spans="1:12">
      <c r="A938">
        <v>141</v>
      </c>
      <c r="B938" t="s">
        <v>447</v>
      </c>
      <c r="D938" t="s">
        <v>60</v>
      </c>
      <c r="E938" t="s">
        <v>448</v>
      </c>
      <c r="F938" t="s">
        <v>449</v>
      </c>
      <c r="G938">
        <v>37</v>
      </c>
      <c r="H938" t="s">
        <v>63</v>
      </c>
      <c r="I938">
        <v>5</v>
      </c>
      <c r="J938" t="str">
        <f>HYPERLINK("Gene141-zp_tree_all.dnd", "Gene141-tree")</f>
        <v>Gene141-tree</v>
      </c>
      <c r="L938" t="s">
        <v>71</v>
      </c>
    </row>
    <row r="939" spans="1:12">
      <c r="A939">
        <v>142</v>
      </c>
      <c r="B939" t="s">
        <v>450</v>
      </c>
      <c r="D939" t="s">
        <v>60</v>
      </c>
      <c r="E939" t="s">
        <v>451</v>
      </c>
      <c r="F939" t="s">
        <v>452</v>
      </c>
      <c r="G939">
        <v>121</v>
      </c>
      <c r="H939" t="s">
        <v>63</v>
      </c>
      <c r="I939">
        <v>5</v>
      </c>
      <c r="J939" t="str">
        <f>HYPERLINK("Gene142-zp_tree_all.dnd", "Gene142-tree")</f>
        <v>Gene142-tree</v>
      </c>
      <c r="L939" t="s">
        <v>71</v>
      </c>
    </row>
    <row r="940" spans="1:12">
      <c r="A940">
        <v>143</v>
      </c>
      <c r="B940" t="s">
        <v>453</v>
      </c>
      <c r="D940" t="s">
        <v>60</v>
      </c>
      <c r="E940" t="s">
        <v>454</v>
      </c>
      <c r="F940" t="s">
        <v>455</v>
      </c>
      <c r="G940">
        <v>131</v>
      </c>
      <c r="H940" t="s">
        <v>63</v>
      </c>
      <c r="I940">
        <v>5</v>
      </c>
      <c r="J940" t="str">
        <f>HYPERLINK("Gene143-zp_tree_all.dnd", "Gene143-tree")</f>
        <v>Gene143-tree</v>
      </c>
      <c r="L940" t="s">
        <v>71</v>
      </c>
    </row>
    <row r="941" spans="1:12">
      <c r="A941">
        <v>150</v>
      </c>
      <c r="B941" t="s">
        <v>472</v>
      </c>
      <c r="D941" t="s">
        <v>60</v>
      </c>
      <c r="E941" t="s">
        <v>473</v>
      </c>
      <c r="F941" t="s">
        <v>474</v>
      </c>
      <c r="G941">
        <v>145</v>
      </c>
      <c r="H941" t="s">
        <v>63</v>
      </c>
      <c r="I941">
        <v>5</v>
      </c>
      <c r="J941" t="str">
        <f>HYPERLINK("Gene150-zp_tree_all.dnd", "Gene150-tree")</f>
        <v>Gene150-tree</v>
      </c>
      <c r="L941" t="s">
        <v>71</v>
      </c>
    </row>
    <row r="942" spans="1:12">
      <c r="A942">
        <v>187</v>
      </c>
      <c r="B942" t="s">
        <v>517</v>
      </c>
      <c r="D942" t="s">
        <v>60</v>
      </c>
      <c r="E942" t="s">
        <v>518</v>
      </c>
      <c r="F942" t="s">
        <v>74</v>
      </c>
      <c r="G942">
        <v>124</v>
      </c>
      <c r="H942" t="s">
        <v>85</v>
      </c>
      <c r="I942">
        <v>4</v>
      </c>
      <c r="J942" t="str">
        <f>HYPERLINK("Gene187-zp_tree_all.dnd", "Gene187-tree")</f>
        <v>Gene187-tree</v>
      </c>
      <c r="L942" t="s">
        <v>71</v>
      </c>
    </row>
    <row r="943" spans="1:12">
      <c r="A943">
        <v>236</v>
      </c>
      <c r="B943" t="s">
        <v>544</v>
      </c>
      <c r="D943" t="s">
        <v>60</v>
      </c>
      <c r="E943" t="s">
        <v>545</v>
      </c>
      <c r="F943" t="s">
        <v>546</v>
      </c>
      <c r="G943">
        <v>235</v>
      </c>
      <c r="H943" t="s">
        <v>85</v>
      </c>
      <c r="I943">
        <v>4</v>
      </c>
      <c r="J943" t="str">
        <f>HYPERLINK("Gene236-zp_tree_all.dnd", "Gene236-tree")</f>
        <v>Gene236-tree</v>
      </c>
      <c r="L943" t="s">
        <v>71</v>
      </c>
    </row>
    <row r="944" spans="1:12">
      <c r="A944">
        <v>297</v>
      </c>
      <c r="B944" t="s">
        <v>577</v>
      </c>
      <c r="D944" t="s">
        <v>66</v>
      </c>
      <c r="E944" t="s">
        <v>578</v>
      </c>
      <c r="F944" t="s">
        <v>521</v>
      </c>
      <c r="G944">
        <v>100</v>
      </c>
      <c r="H944" t="s">
        <v>85</v>
      </c>
      <c r="I944">
        <v>4</v>
      </c>
      <c r="J944" t="str">
        <f>HYPERLINK("Gene297-zp_tree_all.dnd", "Gene297-tree")</f>
        <v>Gene297-tree</v>
      </c>
      <c r="L944" t="s">
        <v>139</v>
      </c>
    </row>
    <row r="945" spans="1:12">
      <c r="A945">
        <v>305</v>
      </c>
      <c r="B945" t="s">
        <v>584</v>
      </c>
      <c r="D945" t="s">
        <v>60</v>
      </c>
      <c r="E945" t="s">
        <v>585</v>
      </c>
      <c r="F945" t="s">
        <v>586</v>
      </c>
      <c r="G945">
        <v>321</v>
      </c>
      <c r="H945" t="s">
        <v>85</v>
      </c>
      <c r="I945">
        <v>4</v>
      </c>
      <c r="J945" t="str">
        <f>HYPERLINK("Gene305-zp_tree_all.dnd", "Gene305-tree")</f>
        <v>Gene305-tree</v>
      </c>
      <c r="L945" t="s">
        <v>71</v>
      </c>
    </row>
    <row r="946" spans="1:12">
      <c r="A946">
        <v>307</v>
      </c>
      <c r="B946" t="s">
        <v>587</v>
      </c>
      <c r="D946" t="s">
        <v>66</v>
      </c>
      <c r="E946" t="s">
        <v>588</v>
      </c>
      <c r="F946" t="s">
        <v>589</v>
      </c>
      <c r="G946">
        <v>512</v>
      </c>
      <c r="H946" t="s">
        <v>85</v>
      </c>
      <c r="I946">
        <v>4</v>
      </c>
      <c r="J946" t="str">
        <f>HYPERLINK("Gene307-zp_tree_all.dnd", "Gene307-tree")</f>
        <v>Gene307-tree</v>
      </c>
      <c r="L946" t="s">
        <v>139</v>
      </c>
    </row>
    <row r="947" spans="1:12">
      <c r="A947">
        <v>379</v>
      </c>
      <c r="B947" t="s">
        <v>652</v>
      </c>
      <c r="D947" t="s">
        <v>60</v>
      </c>
      <c r="E947" t="s">
        <v>653</v>
      </c>
      <c r="F947" t="s">
        <v>654</v>
      </c>
      <c r="G947">
        <v>40</v>
      </c>
      <c r="H947" t="s">
        <v>63</v>
      </c>
      <c r="I947">
        <v>5</v>
      </c>
      <c r="J947" t="str">
        <f>HYPERLINK("Gene379-zp_tree_all.dnd", "Gene379-tree")</f>
        <v>Gene379-tree</v>
      </c>
      <c r="L947" t="s">
        <v>71</v>
      </c>
    </row>
    <row r="948" spans="1:12">
      <c r="A948">
        <v>416</v>
      </c>
      <c r="B948" t="s">
        <v>677</v>
      </c>
      <c r="D948" t="s">
        <v>60</v>
      </c>
      <c r="E948" t="s">
        <v>678</v>
      </c>
      <c r="F948" t="s">
        <v>74</v>
      </c>
      <c r="G948">
        <v>81</v>
      </c>
      <c r="H948" t="s">
        <v>85</v>
      </c>
      <c r="I948">
        <v>4</v>
      </c>
      <c r="J948" t="str">
        <f>HYPERLINK("Gene416-zp_tree_all.dnd", "Gene416-tree")</f>
        <v>Gene416-tree</v>
      </c>
      <c r="L948" t="s">
        <v>71</v>
      </c>
    </row>
    <row r="949" spans="1:12">
      <c r="A949">
        <v>434</v>
      </c>
      <c r="B949" t="s">
        <v>694</v>
      </c>
      <c r="D949" t="s">
        <v>60</v>
      </c>
      <c r="E949" t="s">
        <v>695</v>
      </c>
      <c r="F949" t="s">
        <v>696</v>
      </c>
      <c r="G949">
        <v>420</v>
      </c>
      <c r="H949" t="s">
        <v>85</v>
      </c>
      <c r="I949">
        <v>4</v>
      </c>
      <c r="J949" t="str">
        <f>HYPERLINK("Gene434-zp_tree_all.dnd", "Gene434-tree")</f>
        <v>Gene434-tree</v>
      </c>
      <c r="L949" t="s">
        <v>71</v>
      </c>
    </row>
    <row r="950" spans="1:12">
      <c r="A950">
        <v>469</v>
      </c>
      <c r="B950" t="s">
        <v>728</v>
      </c>
      <c r="D950" t="s">
        <v>60</v>
      </c>
      <c r="E950" t="s">
        <v>729</v>
      </c>
      <c r="F950" t="s">
        <v>730</v>
      </c>
      <c r="G950">
        <v>93</v>
      </c>
      <c r="H950" t="s">
        <v>63</v>
      </c>
      <c r="I950">
        <v>5</v>
      </c>
      <c r="J950" t="str">
        <f>HYPERLINK("Gene469-zp_tree_all.dnd", "Gene469-tree")</f>
        <v>Gene469-tree</v>
      </c>
      <c r="L950" t="s">
        <v>71</v>
      </c>
    </row>
    <row r="951" spans="1:12">
      <c r="A951">
        <v>470</v>
      </c>
      <c r="B951" t="s">
        <v>731</v>
      </c>
      <c r="D951" t="s">
        <v>60</v>
      </c>
      <c r="E951" t="s">
        <v>732</v>
      </c>
      <c r="F951" t="s">
        <v>733</v>
      </c>
      <c r="G951">
        <v>116</v>
      </c>
      <c r="H951" t="s">
        <v>63</v>
      </c>
      <c r="I951">
        <v>5</v>
      </c>
      <c r="J951" t="str">
        <f>HYPERLINK("Gene470-zp_tree_all.dnd", "Gene470-tree")</f>
        <v>Gene470-tree</v>
      </c>
      <c r="L951" t="s">
        <v>71</v>
      </c>
    </row>
    <row r="952" spans="1:12">
      <c r="A952">
        <v>473</v>
      </c>
      <c r="B952" t="s">
        <v>734</v>
      </c>
      <c r="D952" t="s">
        <v>60</v>
      </c>
      <c r="E952" t="s">
        <v>735</v>
      </c>
      <c r="F952" t="s">
        <v>736</v>
      </c>
      <c r="G952">
        <v>133</v>
      </c>
      <c r="H952" t="s">
        <v>106</v>
      </c>
      <c r="I952">
        <v>4</v>
      </c>
      <c r="J952" t="str">
        <f>HYPERLINK("Gene473-zp_tree_all.dnd", "Gene473-tree")</f>
        <v>Gene473-tree</v>
      </c>
      <c r="L952" t="s">
        <v>71</v>
      </c>
    </row>
    <row r="953" spans="1:12">
      <c r="A953">
        <v>475</v>
      </c>
      <c r="B953" t="s">
        <v>742</v>
      </c>
      <c r="D953" t="s">
        <v>60</v>
      </c>
      <c r="E953" t="s">
        <v>743</v>
      </c>
      <c r="F953" t="s">
        <v>744</v>
      </c>
      <c r="G953">
        <v>109</v>
      </c>
      <c r="H953" t="s">
        <v>85</v>
      </c>
      <c r="I953">
        <v>4</v>
      </c>
      <c r="J953" t="str">
        <f>HYPERLINK("Gene475-zp_tree_all.dnd", "Gene475-tree")</f>
        <v>Gene475-tree</v>
      </c>
      <c r="L953" t="s">
        <v>71</v>
      </c>
    </row>
    <row r="954" spans="1:12">
      <c r="A954">
        <v>476</v>
      </c>
      <c r="B954" t="s">
        <v>745</v>
      </c>
      <c r="D954" t="s">
        <v>60</v>
      </c>
      <c r="E954" t="s">
        <v>746</v>
      </c>
      <c r="F954" t="s">
        <v>747</v>
      </c>
      <c r="G954">
        <v>160</v>
      </c>
      <c r="H954" t="s">
        <v>85</v>
      </c>
      <c r="I954">
        <v>4</v>
      </c>
      <c r="J954" t="str">
        <f>HYPERLINK("Gene476-zp_tree_all.dnd", "Gene476-tree")</f>
        <v>Gene476-tree</v>
      </c>
      <c r="L954" t="s">
        <v>71</v>
      </c>
    </row>
    <row r="955" spans="1:12">
      <c r="A955">
        <v>610</v>
      </c>
      <c r="B955" t="s">
        <v>816</v>
      </c>
      <c r="D955" t="s">
        <v>66</v>
      </c>
      <c r="E955" t="s">
        <v>817</v>
      </c>
      <c r="F955" t="s">
        <v>818</v>
      </c>
      <c r="G955">
        <v>63</v>
      </c>
      <c r="H955" t="s">
        <v>63</v>
      </c>
      <c r="I955">
        <v>5</v>
      </c>
      <c r="J955" t="str">
        <f>HYPERLINK("Gene610-zp_tree_all.dnd", "Gene610-tree")</f>
        <v>Gene610-tree</v>
      </c>
      <c r="L955" t="s">
        <v>139</v>
      </c>
    </row>
    <row r="956" spans="1:12">
      <c r="A956">
        <v>612</v>
      </c>
      <c r="B956" t="s">
        <v>819</v>
      </c>
      <c r="D956" t="s">
        <v>60</v>
      </c>
      <c r="E956" t="s">
        <v>820</v>
      </c>
      <c r="F956" t="s">
        <v>232</v>
      </c>
      <c r="G956">
        <v>94</v>
      </c>
      <c r="H956" t="s">
        <v>63</v>
      </c>
      <c r="I956">
        <v>5</v>
      </c>
      <c r="J956" t="str">
        <f>HYPERLINK("Gene612-zp_tree_all.dnd", "Gene612-tree")</f>
        <v>Gene612-tree</v>
      </c>
      <c r="L956" t="s">
        <v>71</v>
      </c>
    </row>
    <row r="957" spans="1:12">
      <c r="A957">
        <v>703</v>
      </c>
      <c r="B957" t="s">
        <v>898</v>
      </c>
      <c r="D957" t="s">
        <v>60</v>
      </c>
      <c r="E957" t="s">
        <v>899</v>
      </c>
      <c r="F957" t="s">
        <v>900</v>
      </c>
      <c r="G957">
        <v>82</v>
      </c>
      <c r="H957" t="s">
        <v>63</v>
      </c>
      <c r="I957">
        <v>5</v>
      </c>
      <c r="J957" t="str">
        <f>HYPERLINK("Gene703-zp_tree_all.dnd", "Gene703-tree")</f>
        <v>Gene703-tree</v>
      </c>
      <c r="L957" t="s">
        <v>71</v>
      </c>
    </row>
    <row r="958" spans="1:12">
      <c r="A958">
        <v>704</v>
      </c>
      <c r="B958" t="s">
        <v>901</v>
      </c>
      <c r="D958" t="s">
        <v>60</v>
      </c>
      <c r="E958" t="s">
        <v>902</v>
      </c>
      <c r="F958" t="s">
        <v>903</v>
      </c>
      <c r="G958">
        <v>87</v>
      </c>
      <c r="H958" t="s">
        <v>106</v>
      </c>
      <c r="I958">
        <v>4</v>
      </c>
      <c r="J958" t="str">
        <f>HYPERLINK("Gene704-zp_tree_all.dnd", "Gene704-tree")</f>
        <v>Gene704-tree</v>
      </c>
      <c r="L958" t="s">
        <v>71</v>
      </c>
    </row>
    <row r="959" spans="1:12">
      <c r="A959">
        <v>777</v>
      </c>
      <c r="B959" t="s">
        <v>957</v>
      </c>
      <c r="D959" t="s">
        <v>66</v>
      </c>
      <c r="E959" t="s">
        <v>958</v>
      </c>
      <c r="F959" t="s">
        <v>74</v>
      </c>
      <c r="G959">
        <v>45</v>
      </c>
      <c r="H959" t="s">
        <v>63</v>
      </c>
      <c r="I959">
        <v>5</v>
      </c>
      <c r="J959" t="str">
        <f>HYPERLINK("Gene777-zp_tree_all.dnd", "Gene777-tree")</f>
        <v>Gene777-tree</v>
      </c>
      <c r="L959" t="s">
        <v>139</v>
      </c>
    </row>
    <row r="960" spans="1:12">
      <c r="A960">
        <v>778</v>
      </c>
      <c r="B960" t="s">
        <v>959</v>
      </c>
      <c r="D960" t="s">
        <v>66</v>
      </c>
      <c r="E960" t="s">
        <v>960</v>
      </c>
      <c r="F960" t="s">
        <v>74</v>
      </c>
      <c r="G960">
        <v>51</v>
      </c>
      <c r="H960" t="s">
        <v>63</v>
      </c>
      <c r="I960">
        <v>5</v>
      </c>
      <c r="J960" t="str">
        <f>HYPERLINK("Gene778-zp_tree_all.dnd", "Gene778-tree")</f>
        <v>Gene778-tree</v>
      </c>
      <c r="L960" t="s">
        <v>139</v>
      </c>
    </row>
    <row r="961" spans="1:12">
      <c r="A961">
        <v>886</v>
      </c>
      <c r="B961" t="s">
        <v>1015</v>
      </c>
      <c r="D961" t="s">
        <v>60</v>
      </c>
      <c r="E961" t="s">
        <v>1016</v>
      </c>
      <c r="F961" t="s">
        <v>74</v>
      </c>
      <c r="G961">
        <v>67</v>
      </c>
      <c r="H961" t="s">
        <v>85</v>
      </c>
      <c r="I961">
        <v>4</v>
      </c>
      <c r="J961" t="str">
        <f>HYPERLINK("Gene886-zp_tree_all.dnd", "Gene886-tree")</f>
        <v>Gene886-tree</v>
      </c>
      <c r="L961" t="s">
        <v>71</v>
      </c>
    </row>
    <row r="962" spans="1:12">
      <c r="A962">
        <v>916</v>
      </c>
      <c r="B962" t="s">
        <v>1045</v>
      </c>
      <c r="D962" t="s">
        <v>60</v>
      </c>
      <c r="E962" t="s">
        <v>1046</v>
      </c>
      <c r="F962" t="s">
        <v>74</v>
      </c>
      <c r="G962">
        <v>253</v>
      </c>
      <c r="H962" t="s">
        <v>85</v>
      </c>
      <c r="I962">
        <v>4</v>
      </c>
      <c r="J962" t="str">
        <f>HYPERLINK("Gene916-zp_tree_all.dnd", "Gene916-tree")</f>
        <v>Gene916-tree</v>
      </c>
      <c r="L962" t="s">
        <v>71</v>
      </c>
    </row>
    <row r="963" spans="1:12">
      <c r="A963">
        <v>921</v>
      </c>
      <c r="B963" t="s">
        <v>1047</v>
      </c>
      <c r="D963" t="s">
        <v>66</v>
      </c>
      <c r="E963" t="s">
        <v>1048</v>
      </c>
      <c r="F963" t="s">
        <v>1049</v>
      </c>
      <c r="G963">
        <v>67</v>
      </c>
      <c r="H963" t="s">
        <v>63</v>
      </c>
      <c r="I963">
        <v>5</v>
      </c>
      <c r="J963" t="str">
        <f>HYPERLINK("Gene921-zp_tree_all.dnd", "Gene921-tree")</f>
        <v>Gene921-tree</v>
      </c>
      <c r="L963" t="s">
        <v>139</v>
      </c>
    </row>
    <row r="964" spans="1:12">
      <c r="A964">
        <v>933</v>
      </c>
      <c r="B964" t="s">
        <v>1054</v>
      </c>
      <c r="D964" t="s">
        <v>60</v>
      </c>
      <c r="E964" t="s">
        <v>1055</v>
      </c>
      <c r="F964" t="s">
        <v>1056</v>
      </c>
      <c r="G964">
        <v>140</v>
      </c>
      <c r="H964" t="s">
        <v>63</v>
      </c>
      <c r="I964">
        <v>5</v>
      </c>
      <c r="J964" t="str">
        <f>HYPERLINK("Gene933-zp_tree_all.dnd", "Gene933-tree")</f>
        <v>Gene933-tree</v>
      </c>
      <c r="L964" t="s">
        <v>71</v>
      </c>
    </row>
    <row r="965" spans="1:12">
      <c r="A965">
        <v>945</v>
      </c>
      <c r="B965" t="s">
        <v>1064</v>
      </c>
      <c r="D965" t="s">
        <v>66</v>
      </c>
      <c r="E965" t="s">
        <v>1065</v>
      </c>
      <c r="F965" t="s">
        <v>74</v>
      </c>
      <c r="G965">
        <v>80</v>
      </c>
      <c r="H965" t="s">
        <v>85</v>
      </c>
      <c r="I965">
        <v>4</v>
      </c>
      <c r="J965" t="str">
        <f>HYPERLINK("Gene945-zp_tree_all.dnd", "Gene945-tree")</f>
        <v>Gene945-tree</v>
      </c>
      <c r="L965" t="s">
        <v>139</v>
      </c>
    </row>
    <row r="966" spans="1:12">
      <c r="A966">
        <v>983</v>
      </c>
      <c r="B966" t="s">
        <v>1087</v>
      </c>
      <c r="D966" t="s">
        <v>66</v>
      </c>
      <c r="E966" t="s">
        <v>1088</v>
      </c>
      <c r="F966" t="s">
        <v>74</v>
      </c>
      <c r="G966">
        <v>41</v>
      </c>
      <c r="H966" t="s">
        <v>85</v>
      </c>
      <c r="I966">
        <v>4</v>
      </c>
      <c r="J966" t="str">
        <f>HYPERLINK("Gene983-zp_tree_all.dnd", "Gene983-tree")</f>
        <v>Gene983-tree</v>
      </c>
      <c r="L966" t="s">
        <v>139</v>
      </c>
    </row>
    <row r="967" spans="1:12">
      <c r="A967">
        <v>1005</v>
      </c>
      <c r="B967" t="s">
        <v>1099</v>
      </c>
      <c r="D967" t="s">
        <v>60</v>
      </c>
      <c r="E967" t="s">
        <v>1100</v>
      </c>
      <c r="F967" t="s">
        <v>74</v>
      </c>
      <c r="G967">
        <v>28</v>
      </c>
      <c r="H967" t="s">
        <v>63</v>
      </c>
      <c r="I967">
        <v>5</v>
      </c>
      <c r="J967" t="str">
        <f>HYPERLINK("Gene1005-zp_tree_all.dnd", "Gene1005-tree")</f>
        <v>Gene1005-tree</v>
      </c>
      <c r="L967" t="s">
        <v>71</v>
      </c>
    </row>
    <row r="968" spans="1:12">
      <c r="A968">
        <v>1076</v>
      </c>
      <c r="B968" t="s">
        <v>1165</v>
      </c>
      <c r="D968" t="s">
        <v>66</v>
      </c>
      <c r="E968" t="s">
        <v>1166</v>
      </c>
      <c r="F968" t="s">
        <v>1167</v>
      </c>
      <c r="G968">
        <v>75</v>
      </c>
      <c r="H968" t="s">
        <v>63</v>
      </c>
      <c r="I968">
        <v>5</v>
      </c>
      <c r="J968" t="str">
        <f>HYPERLINK("Gene1076-zp_tree_all.dnd", "Gene1076-tree")</f>
        <v>Gene1076-tree</v>
      </c>
      <c r="L968" t="s">
        <v>139</v>
      </c>
    </row>
    <row r="969" spans="1:12">
      <c r="A969">
        <v>1123</v>
      </c>
      <c r="B969" t="s">
        <v>1187</v>
      </c>
      <c r="D969" t="s">
        <v>66</v>
      </c>
      <c r="E969" t="s">
        <v>1188</v>
      </c>
      <c r="F969" t="s">
        <v>74</v>
      </c>
      <c r="G969">
        <v>65</v>
      </c>
      <c r="H969" t="s">
        <v>106</v>
      </c>
      <c r="I969">
        <v>4</v>
      </c>
      <c r="J969" t="str">
        <f>HYPERLINK("Gene1123-zp_tree_all.dnd", "Gene1123-tree")</f>
        <v>Gene1123-tree</v>
      </c>
      <c r="L969" t="s">
        <v>139</v>
      </c>
    </row>
    <row r="970" spans="1:12">
      <c r="A970">
        <v>1164</v>
      </c>
      <c r="B970" t="s">
        <v>1237</v>
      </c>
      <c r="D970" t="s">
        <v>66</v>
      </c>
      <c r="E970" t="s">
        <v>1238</v>
      </c>
      <c r="F970" t="s">
        <v>74</v>
      </c>
      <c r="G970">
        <v>55</v>
      </c>
      <c r="H970" t="s">
        <v>106</v>
      </c>
      <c r="I970">
        <v>4</v>
      </c>
      <c r="J970" t="str">
        <f>HYPERLINK("Gene1164-zp_tree_all.dnd", "Gene1164-tree")</f>
        <v>Gene1164-tree</v>
      </c>
      <c r="L970" t="s">
        <v>139</v>
      </c>
    </row>
    <row r="971" spans="1:12">
      <c r="A971">
        <v>1185</v>
      </c>
      <c r="B971" t="s">
        <v>1255</v>
      </c>
      <c r="D971" t="s">
        <v>66</v>
      </c>
      <c r="E971" t="s">
        <v>1256</v>
      </c>
      <c r="F971" t="s">
        <v>1257</v>
      </c>
      <c r="G971">
        <v>162</v>
      </c>
      <c r="H971" t="s">
        <v>85</v>
      </c>
      <c r="I971">
        <v>4</v>
      </c>
      <c r="J971" t="str">
        <f>HYPERLINK("Gene1185-zp_tree_all.dnd", "Gene1185-tree")</f>
        <v>Gene1185-tree</v>
      </c>
      <c r="L971" t="s">
        <v>139</v>
      </c>
    </row>
    <row r="972" spans="1:12">
      <c r="A972">
        <v>1266</v>
      </c>
      <c r="B972" t="s">
        <v>1306</v>
      </c>
      <c r="D972" t="s">
        <v>66</v>
      </c>
      <c r="E972" t="s">
        <v>1307</v>
      </c>
      <c r="F972" t="s">
        <v>242</v>
      </c>
      <c r="G972">
        <v>113</v>
      </c>
      <c r="H972" t="s">
        <v>1308</v>
      </c>
      <c r="I972">
        <v>4</v>
      </c>
      <c r="J972" t="str">
        <f>HYPERLINK("Gene1266-zp_tree_all.dnd", "Gene1266-tree")</f>
        <v>Gene1266-tree</v>
      </c>
      <c r="L972" t="s">
        <v>139</v>
      </c>
    </row>
    <row r="973" spans="1:12">
      <c r="A973">
        <v>1283</v>
      </c>
      <c r="B973" t="s">
        <v>1318</v>
      </c>
      <c r="D973" t="s">
        <v>60</v>
      </c>
      <c r="E973" t="s">
        <v>1319</v>
      </c>
      <c r="F973" t="s">
        <v>74</v>
      </c>
      <c r="G973">
        <v>72</v>
      </c>
      <c r="H973" t="s">
        <v>106</v>
      </c>
      <c r="I973">
        <v>4</v>
      </c>
      <c r="J973" t="str">
        <f>HYPERLINK("Gene1283-zp_tree_all.dnd", "Gene1283-tree")</f>
        <v>Gene1283-tree</v>
      </c>
      <c r="L973" t="s">
        <v>71</v>
      </c>
    </row>
    <row r="974" spans="1:12">
      <c r="A974">
        <v>1351</v>
      </c>
      <c r="B974" t="s">
        <v>1341</v>
      </c>
      <c r="D974" t="s">
        <v>60</v>
      </c>
      <c r="E974" t="s">
        <v>1342</v>
      </c>
      <c r="F974" t="s">
        <v>74</v>
      </c>
      <c r="G974">
        <v>45</v>
      </c>
      <c r="H974" t="s">
        <v>63</v>
      </c>
      <c r="I974">
        <v>5</v>
      </c>
      <c r="J974" t="str">
        <f>HYPERLINK("Gene1351-zp_tree_all.dnd", "Gene1351-tree")</f>
        <v>Gene1351-tree</v>
      </c>
      <c r="L974" t="s">
        <v>71</v>
      </c>
    </row>
    <row r="975" spans="1:12">
      <c r="A975">
        <v>1406</v>
      </c>
      <c r="B975" t="s">
        <v>1394</v>
      </c>
      <c r="D975" t="s">
        <v>66</v>
      </c>
      <c r="E975" t="s">
        <v>1395</v>
      </c>
      <c r="F975" t="s">
        <v>74</v>
      </c>
      <c r="G975">
        <v>61</v>
      </c>
      <c r="H975" t="s">
        <v>63</v>
      </c>
      <c r="I975">
        <v>5</v>
      </c>
      <c r="J975" t="str">
        <f>HYPERLINK("Gene1406-zp_tree_all.dnd", "Gene1406-tree")</f>
        <v>Gene1406-tree</v>
      </c>
      <c r="L975" t="s">
        <v>139</v>
      </c>
    </row>
    <row r="976" spans="1:12">
      <c r="A976">
        <v>1407</v>
      </c>
      <c r="B976" t="s">
        <v>1396</v>
      </c>
      <c r="D976" t="s">
        <v>60</v>
      </c>
      <c r="E976" t="s">
        <v>1397</v>
      </c>
      <c r="F976" t="s">
        <v>74</v>
      </c>
      <c r="G976">
        <v>64</v>
      </c>
      <c r="H976" t="s">
        <v>63</v>
      </c>
      <c r="I976">
        <v>5</v>
      </c>
      <c r="J976" t="str">
        <f>HYPERLINK("Gene1407-zp_tree_all.dnd", "Gene1407-tree")</f>
        <v>Gene1407-tree</v>
      </c>
      <c r="L976" t="s">
        <v>71</v>
      </c>
    </row>
    <row r="977" spans="1:12">
      <c r="A977">
        <v>1416</v>
      </c>
      <c r="B977" t="s">
        <v>1407</v>
      </c>
      <c r="D977" t="s">
        <v>60</v>
      </c>
      <c r="E977" t="s">
        <v>1408</v>
      </c>
      <c r="F977" t="s">
        <v>1409</v>
      </c>
      <c r="G977">
        <v>88</v>
      </c>
      <c r="H977" t="s">
        <v>63</v>
      </c>
      <c r="I977">
        <v>5</v>
      </c>
      <c r="J977" t="str">
        <f>HYPERLINK("Gene1416-zp_tree_all.dnd", "Gene1416-tree")</f>
        <v>Gene1416-tree</v>
      </c>
      <c r="L977" t="s">
        <v>71</v>
      </c>
    </row>
    <row r="978" spans="1:12">
      <c r="A978">
        <v>1427</v>
      </c>
      <c r="B978" t="s">
        <v>1419</v>
      </c>
      <c r="D978" t="s">
        <v>66</v>
      </c>
      <c r="E978" t="s">
        <v>1420</v>
      </c>
      <c r="F978" t="s">
        <v>74</v>
      </c>
      <c r="G978">
        <v>53</v>
      </c>
      <c r="H978" t="s">
        <v>63</v>
      </c>
      <c r="I978">
        <v>5</v>
      </c>
      <c r="J978" t="str">
        <f>HYPERLINK("Gene1427-zp_tree_all.dnd", "Gene1427-tree")</f>
        <v>Gene1427-tree</v>
      </c>
      <c r="L978" t="s">
        <v>139</v>
      </c>
    </row>
    <row r="979" spans="1:12">
      <c r="A979">
        <v>1440</v>
      </c>
      <c r="B979" t="s">
        <v>1434</v>
      </c>
      <c r="D979" t="s">
        <v>60</v>
      </c>
      <c r="E979" t="s">
        <v>1435</v>
      </c>
      <c r="F979" t="s">
        <v>74</v>
      </c>
      <c r="G979">
        <v>65</v>
      </c>
      <c r="H979" t="s">
        <v>63</v>
      </c>
      <c r="I979">
        <v>5</v>
      </c>
      <c r="J979" t="str">
        <f>HYPERLINK("Gene1440-zp_tree_all.dnd", "Gene1440-tree")</f>
        <v>Gene1440-tree</v>
      </c>
      <c r="L979" t="s">
        <v>71</v>
      </c>
    </row>
    <row r="980" spans="1:12">
      <c r="A980">
        <v>1452</v>
      </c>
      <c r="B980" t="s">
        <v>1444</v>
      </c>
      <c r="D980" t="s">
        <v>60</v>
      </c>
      <c r="E980" t="s">
        <v>1445</v>
      </c>
      <c r="F980" t="s">
        <v>1446</v>
      </c>
      <c r="G980">
        <v>191</v>
      </c>
      <c r="H980" t="s">
        <v>85</v>
      </c>
      <c r="I980">
        <v>4</v>
      </c>
      <c r="J980" t="str">
        <f>HYPERLINK("Gene1452-zp_tree_all.dnd", "Gene1452-tree")</f>
        <v>Gene1452-tree</v>
      </c>
      <c r="L980" t="s">
        <v>71</v>
      </c>
    </row>
    <row r="981" spans="1:12">
      <c r="A981">
        <v>1474</v>
      </c>
      <c r="B981" t="s">
        <v>1468</v>
      </c>
      <c r="D981" t="s">
        <v>66</v>
      </c>
      <c r="E981" t="s">
        <v>1469</v>
      </c>
      <c r="F981" t="s">
        <v>74</v>
      </c>
      <c r="G981">
        <v>44</v>
      </c>
      <c r="H981" t="s">
        <v>63</v>
      </c>
      <c r="I981">
        <v>5</v>
      </c>
      <c r="J981" t="str">
        <f>HYPERLINK("Gene1474-zp_tree_all.dnd", "Gene1474-tree")</f>
        <v>Gene1474-tree</v>
      </c>
      <c r="L981" t="s">
        <v>139</v>
      </c>
    </row>
    <row r="982" spans="1:12">
      <c r="A982">
        <v>1482</v>
      </c>
      <c r="B982" t="s">
        <v>1474</v>
      </c>
      <c r="D982" t="s">
        <v>66</v>
      </c>
      <c r="E982" t="s">
        <v>1475</v>
      </c>
      <c r="F982" t="s">
        <v>74</v>
      </c>
      <c r="G982">
        <v>69</v>
      </c>
      <c r="H982" t="s">
        <v>63</v>
      </c>
      <c r="I982">
        <v>5</v>
      </c>
      <c r="J982" t="str">
        <f>HYPERLINK("Gene1482-zp_tree_all.dnd", "Gene1482-tree")</f>
        <v>Gene1482-tree</v>
      </c>
      <c r="L982" t="s">
        <v>139</v>
      </c>
    </row>
    <row r="983" spans="1:12">
      <c r="A983">
        <v>1496</v>
      </c>
      <c r="B983" t="s">
        <v>1503</v>
      </c>
      <c r="D983" t="s">
        <v>60</v>
      </c>
      <c r="E983" t="s">
        <v>1504</v>
      </c>
      <c r="F983" t="s">
        <v>74</v>
      </c>
      <c r="G983">
        <v>62</v>
      </c>
      <c r="H983" t="s">
        <v>63</v>
      </c>
      <c r="I983">
        <v>5</v>
      </c>
      <c r="J983" t="str">
        <f>HYPERLINK("Gene1496-zp_tree_all.dnd", "Gene1496-tree")</f>
        <v>Gene1496-tree</v>
      </c>
      <c r="L983" t="s">
        <v>71</v>
      </c>
    </row>
    <row r="984" spans="1:12">
      <c r="A984">
        <v>1509</v>
      </c>
      <c r="B984" t="s">
        <v>1517</v>
      </c>
      <c r="D984" t="s">
        <v>66</v>
      </c>
      <c r="E984" t="s">
        <v>1518</v>
      </c>
      <c r="F984" t="s">
        <v>74</v>
      </c>
      <c r="G984">
        <v>69</v>
      </c>
      <c r="H984" t="s">
        <v>63</v>
      </c>
      <c r="I984">
        <v>5</v>
      </c>
      <c r="J984" t="str">
        <f>HYPERLINK("Gene1509-zp_tree_all.dnd", "Gene1509-tree")</f>
        <v>Gene1509-tree</v>
      </c>
      <c r="L984" t="s">
        <v>139</v>
      </c>
    </row>
    <row r="985" spans="1:12">
      <c r="A985">
        <v>1539</v>
      </c>
      <c r="B985" t="s">
        <v>1568</v>
      </c>
      <c r="D985" t="s">
        <v>60</v>
      </c>
      <c r="E985" t="s">
        <v>1569</v>
      </c>
      <c r="F985" t="s">
        <v>1570</v>
      </c>
      <c r="G985">
        <v>59</v>
      </c>
      <c r="H985" t="s">
        <v>63</v>
      </c>
      <c r="I985">
        <v>5</v>
      </c>
      <c r="J985" t="str">
        <f>HYPERLINK("Gene1539-zp_tree_all.dnd", "Gene1539-tree")</f>
        <v>Gene1539-tree</v>
      </c>
      <c r="L985" t="s">
        <v>71</v>
      </c>
    </row>
    <row r="986" spans="1:12">
      <c r="A986">
        <v>1546</v>
      </c>
      <c r="B986" t="s">
        <v>1583</v>
      </c>
      <c r="D986" t="s">
        <v>60</v>
      </c>
      <c r="E986" t="s">
        <v>1584</v>
      </c>
      <c r="F986" t="s">
        <v>1585</v>
      </c>
      <c r="G986">
        <v>117</v>
      </c>
      <c r="H986" t="s">
        <v>63</v>
      </c>
      <c r="I986">
        <v>5</v>
      </c>
      <c r="J986" t="str">
        <f>HYPERLINK("Gene1546-zp_tree_all.dnd", "Gene1546-tree")</f>
        <v>Gene1546-tree</v>
      </c>
      <c r="L986" t="s">
        <v>71</v>
      </c>
    </row>
    <row r="987" spans="1:12">
      <c r="A987">
        <v>1598</v>
      </c>
      <c r="B987" t="s">
        <v>1682</v>
      </c>
      <c r="D987" t="s">
        <v>60</v>
      </c>
      <c r="E987" t="s">
        <v>1683</v>
      </c>
      <c r="F987" t="s">
        <v>74</v>
      </c>
      <c r="G987">
        <v>89</v>
      </c>
      <c r="H987" t="s">
        <v>63</v>
      </c>
      <c r="I987">
        <v>5</v>
      </c>
      <c r="J987" t="str">
        <f>HYPERLINK("Gene1598-zp_tree_all.dnd", "Gene1598-tree")</f>
        <v>Gene1598-tree</v>
      </c>
      <c r="L987" t="s">
        <v>71</v>
      </c>
    </row>
    <row r="988" spans="1:12">
      <c r="A988">
        <v>1612</v>
      </c>
      <c r="B988" t="s">
        <v>1707</v>
      </c>
      <c r="D988" t="s">
        <v>60</v>
      </c>
      <c r="E988" t="s">
        <v>1708</v>
      </c>
      <c r="F988" t="s">
        <v>1709</v>
      </c>
      <c r="G988">
        <v>26</v>
      </c>
      <c r="H988" t="s">
        <v>63</v>
      </c>
      <c r="I988">
        <v>5</v>
      </c>
      <c r="J988" t="str">
        <f>HYPERLINK("Gene1612-zp_tree_all.dnd", "Gene1612-tree")</f>
        <v>Gene1612-tree</v>
      </c>
      <c r="L988" t="s">
        <v>71</v>
      </c>
    </row>
    <row r="989" spans="1:12">
      <c r="A989">
        <v>1613</v>
      </c>
      <c r="B989" t="s">
        <v>1710</v>
      </c>
      <c r="D989" t="s">
        <v>66</v>
      </c>
      <c r="E989" t="s">
        <v>1711</v>
      </c>
      <c r="F989" t="s">
        <v>1712</v>
      </c>
      <c r="G989">
        <v>62</v>
      </c>
      <c r="H989" t="s">
        <v>63</v>
      </c>
      <c r="I989">
        <v>5</v>
      </c>
      <c r="J989" t="str">
        <f>HYPERLINK("Gene1613-zp_tree_all.dnd", "Gene1613-tree")</f>
        <v>Gene1613-tree</v>
      </c>
      <c r="L989" t="s">
        <v>139</v>
      </c>
    </row>
    <row r="990" spans="1:12">
      <c r="A990">
        <v>1623</v>
      </c>
      <c r="B990" t="s">
        <v>1731</v>
      </c>
      <c r="D990" t="s">
        <v>60</v>
      </c>
      <c r="E990" t="s">
        <v>1732</v>
      </c>
      <c r="F990" t="s">
        <v>1733</v>
      </c>
      <c r="G990">
        <v>77</v>
      </c>
      <c r="H990" t="s">
        <v>63</v>
      </c>
      <c r="I990">
        <v>5</v>
      </c>
      <c r="J990" t="str">
        <f>HYPERLINK("Gene1623-zp_tree_all.dnd", "Gene1623-tree")</f>
        <v>Gene1623-tree</v>
      </c>
      <c r="L990" t="s">
        <v>71</v>
      </c>
    </row>
    <row r="991" spans="1:12">
      <c r="A991">
        <v>1631</v>
      </c>
      <c r="B991" t="s">
        <v>1750</v>
      </c>
      <c r="D991" t="s">
        <v>60</v>
      </c>
      <c r="E991" t="s">
        <v>1751</v>
      </c>
      <c r="F991" t="s">
        <v>74</v>
      </c>
      <c r="G991">
        <v>81</v>
      </c>
      <c r="H991" t="s">
        <v>63</v>
      </c>
      <c r="I991">
        <v>5</v>
      </c>
      <c r="J991" t="str">
        <f>HYPERLINK("Gene1631-zp_tree_all.dnd", "Gene1631-tree")</f>
        <v>Gene1631-tree</v>
      </c>
      <c r="L991" t="s">
        <v>71</v>
      </c>
    </row>
    <row r="992" spans="1:12">
      <c r="A992">
        <v>1635</v>
      </c>
      <c r="B992" t="s">
        <v>1756</v>
      </c>
      <c r="D992" t="s">
        <v>60</v>
      </c>
      <c r="E992" t="s">
        <v>1757</v>
      </c>
      <c r="F992" t="s">
        <v>1758</v>
      </c>
      <c r="G992">
        <v>118</v>
      </c>
      <c r="H992" t="s">
        <v>63</v>
      </c>
      <c r="I992">
        <v>5</v>
      </c>
      <c r="J992" t="str">
        <f>HYPERLINK("Gene1635-zp_tree_all.dnd", "Gene1635-tree")</f>
        <v>Gene1635-tree</v>
      </c>
      <c r="L992" t="s">
        <v>71</v>
      </c>
    </row>
    <row r="993" spans="1:12">
      <c r="A993">
        <v>1651</v>
      </c>
      <c r="B993" t="s">
        <v>1794</v>
      </c>
      <c r="D993" t="s">
        <v>60</v>
      </c>
      <c r="E993" t="s">
        <v>1795</v>
      </c>
      <c r="F993" t="s">
        <v>1796</v>
      </c>
      <c r="G993">
        <v>106</v>
      </c>
      <c r="H993" t="s">
        <v>63</v>
      </c>
      <c r="I993">
        <v>5</v>
      </c>
      <c r="J993" t="str">
        <f>HYPERLINK("Gene1651-zp_tree_all.dnd", "Gene1651-tree")</f>
        <v>Gene1651-tree</v>
      </c>
      <c r="L993" t="s">
        <v>71</v>
      </c>
    </row>
    <row r="994" spans="1:12">
      <c r="A994">
        <v>1661</v>
      </c>
      <c r="B994" t="s">
        <v>1810</v>
      </c>
      <c r="D994" t="s">
        <v>60</v>
      </c>
      <c r="E994" t="s">
        <v>1811</v>
      </c>
      <c r="F994" t="s">
        <v>74</v>
      </c>
      <c r="G994">
        <v>71</v>
      </c>
      <c r="H994" t="s">
        <v>63</v>
      </c>
      <c r="I994">
        <v>5</v>
      </c>
      <c r="J994" t="str">
        <f>HYPERLINK("Gene1661-zp_tree_all.dnd", "Gene1661-tree")</f>
        <v>Gene1661-tree</v>
      </c>
      <c r="L994" t="s">
        <v>71</v>
      </c>
    </row>
    <row r="995" spans="1:12">
      <c r="A995">
        <v>1668</v>
      </c>
      <c r="B995" t="s">
        <v>1825</v>
      </c>
      <c r="D995" t="s">
        <v>60</v>
      </c>
      <c r="E995" t="s">
        <v>1826</v>
      </c>
      <c r="F995" t="s">
        <v>1827</v>
      </c>
      <c r="G995">
        <v>89</v>
      </c>
      <c r="H995" t="s">
        <v>106</v>
      </c>
      <c r="I995">
        <v>4</v>
      </c>
      <c r="J995" t="str">
        <f>HYPERLINK("Gene1668-zp_tree_all.dnd", "Gene1668-tree")</f>
        <v>Gene1668-tree</v>
      </c>
      <c r="L995" t="s">
        <v>71</v>
      </c>
    </row>
    <row r="996" spans="1:12">
      <c r="A996">
        <v>1691</v>
      </c>
      <c r="B996" t="s">
        <v>1882</v>
      </c>
      <c r="D996" t="s">
        <v>60</v>
      </c>
      <c r="E996" t="s">
        <v>1883</v>
      </c>
      <c r="F996" t="s">
        <v>1884</v>
      </c>
      <c r="G996">
        <v>156</v>
      </c>
      <c r="H996" t="s">
        <v>63</v>
      </c>
      <c r="I996">
        <v>5</v>
      </c>
      <c r="J996" t="str">
        <f>HYPERLINK("Gene1691-zp_tree_all.dnd", "Gene1691-tree")</f>
        <v>Gene1691-tree</v>
      </c>
      <c r="L996" t="s">
        <v>71</v>
      </c>
    </row>
    <row r="997" spans="1:12">
      <c r="A997">
        <v>1694</v>
      </c>
      <c r="B997" t="s">
        <v>1888</v>
      </c>
      <c r="D997" t="s">
        <v>60</v>
      </c>
      <c r="E997" t="s">
        <v>1889</v>
      </c>
      <c r="F997" t="s">
        <v>1890</v>
      </c>
      <c r="G997">
        <v>100</v>
      </c>
      <c r="H997" t="s">
        <v>63</v>
      </c>
      <c r="I997">
        <v>5</v>
      </c>
      <c r="J997" t="str">
        <f>HYPERLINK("Gene1694-zp_tree_all.dnd", "Gene1694-tree")</f>
        <v>Gene1694-tree</v>
      </c>
      <c r="L997" t="s">
        <v>71</v>
      </c>
    </row>
    <row r="998" spans="1:12">
      <c r="A998">
        <v>1700</v>
      </c>
      <c r="B998" t="s">
        <v>1904</v>
      </c>
      <c r="D998" t="s">
        <v>60</v>
      </c>
      <c r="E998" t="s">
        <v>1905</v>
      </c>
      <c r="F998" t="s">
        <v>1906</v>
      </c>
      <c r="G998">
        <v>89</v>
      </c>
      <c r="H998" t="s">
        <v>63</v>
      </c>
      <c r="I998">
        <v>5</v>
      </c>
      <c r="J998" t="str">
        <f>HYPERLINK("Gene1700-zp_tree_all.dnd", "Gene1700-tree")</f>
        <v>Gene1700-tree</v>
      </c>
      <c r="L998" t="s">
        <v>71</v>
      </c>
    </row>
    <row r="999" spans="1:12">
      <c r="A999">
        <v>1763</v>
      </c>
      <c r="B999" t="s">
        <v>1962</v>
      </c>
      <c r="D999" t="s">
        <v>60</v>
      </c>
      <c r="E999" t="s">
        <v>1963</v>
      </c>
      <c r="F999" t="s">
        <v>1964</v>
      </c>
      <c r="G999">
        <v>73</v>
      </c>
      <c r="H999" t="s">
        <v>63</v>
      </c>
      <c r="I999">
        <v>5</v>
      </c>
      <c r="J999" t="str">
        <f>HYPERLINK("Gene1763-zp_tree_all.dnd", "Gene1763-tree")</f>
        <v>Gene1763-tree</v>
      </c>
      <c r="L999" t="s">
        <v>71</v>
      </c>
    </row>
    <row r="1000" spans="1:12">
      <c r="A1000">
        <v>1819</v>
      </c>
      <c r="B1000" t="s">
        <v>2011</v>
      </c>
      <c r="D1000" t="s">
        <v>60</v>
      </c>
      <c r="E1000" t="s">
        <v>2012</v>
      </c>
      <c r="F1000" t="s">
        <v>74</v>
      </c>
      <c r="G1000">
        <v>77</v>
      </c>
      <c r="H1000" t="s">
        <v>106</v>
      </c>
      <c r="I1000">
        <v>4</v>
      </c>
      <c r="J1000" t="str">
        <f>HYPERLINK("Gene1819-zp_tree_all.dnd", "Gene1819-tree")</f>
        <v>Gene1819-tree</v>
      </c>
      <c r="L1000" t="s">
        <v>71</v>
      </c>
    </row>
    <row r="1001" spans="1:12">
      <c r="A1001">
        <v>1822</v>
      </c>
      <c r="B1001" t="s">
        <v>2017</v>
      </c>
      <c r="D1001" t="s">
        <v>60</v>
      </c>
      <c r="E1001" t="s">
        <v>2018</v>
      </c>
      <c r="F1001" t="s">
        <v>74</v>
      </c>
      <c r="G1001">
        <v>72</v>
      </c>
      <c r="H1001" t="s">
        <v>63</v>
      </c>
      <c r="I1001">
        <v>5</v>
      </c>
      <c r="J1001" t="str">
        <f>HYPERLINK("Gene1822-zp_tree_all.dnd", "Gene1822-tree")</f>
        <v>Gene1822-tree</v>
      </c>
      <c r="L1001" t="s">
        <v>71</v>
      </c>
    </row>
    <row r="1002" spans="1:12">
      <c r="A1002">
        <v>1823</v>
      </c>
      <c r="B1002" t="s">
        <v>2019</v>
      </c>
      <c r="D1002" t="s">
        <v>66</v>
      </c>
      <c r="E1002" t="s">
        <v>2020</v>
      </c>
      <c r="F1002" t="s">
        <v>2021</v>
      </c>
      <c r="G1002">
        <v>57</v>
      </c>
      <c r="H1002" t="s">
        <v>63</v>
      </c>
      <c r="I1002">
        <v>5</v>
      </c>
      <c r="J1002" t="str">
        <f>HYPERLINK("Gene1823-zp_tree_all.dnd", "Gene1823-tree")</f>
        <v>Gene1823-tree</v>
      </c>
      <c r="L1002" t="s">
        <v>139</v>
      </c>
    </row>
    <row r="1003" spans="1:12">
      <c r="A1003">
        <v>1962</v>
      </c>
      <c r="B1003" t="s">
        <v>2079</v>
      </c>
      <c r="D1003" t="s">
        <v>66</v>
      </c>
      <c r="E1003" t="s">
        <v>2080</v>
      </c>
      <c r="F1003" t="s">
        <v>2081</v>
      </c>
      <c r="G1003">
        <v>208</v>
      </c>
      <c r="H1003" t="s">
        <v>63</v>
      </c>
      <c r="I1003">
        <v>5</v>
      </c>
      <c r="J1003" t="str">
        <f>HYPERLINK("Gene1962-zp_tree_all.dnd", "Gene1962-tree")</f>
        <v>Gene1962-tree</v>
      </c>
      <c r="L1003" t="s">
        <v>71</v>
      </c>
    </row>
    <row r="1004" spans="1:12">
      <c r="A1004">
        <v>1977</v>
      </c>
      <c r="B1004" t="s">
        <v>2084</v>
      </c>
      <c r="D1004" t="s">
        <v>66</v>
      </c>
      <c r="E1004" t="s">
        <v>2085</v>
      </c>
      <c r="F1004" t="s">
        <v>2086</v>
      </c>
      <c r="G1004">
        <v>944</v>
      </c>
      <c r="H1004" t="s">
        <v>106</v>
      </c>
      <c r="I1004">
        <v>4</v>
      </c>
      <c r="J1004" t="str">
        <f>HYPERLINK("Gene1977-zp_tree_all.dnd", "Gene1977-tree")</f>
        <v>Gene1977-tree</v>
      </c>
      <c r="L1004" t="s">
        <v>71</v>
      </c>
    </row>
    <row r="1005" spans="1:12">
      <c r="A1005">
        <v>1988</v>
      </c>
      <c r="B1005" t="s">
        <v>2094</v>
      </c>
      <c r="D1005" t="s">
        <v>66</v>
      </c>
      <c r="E1005" t="s">
        <v>2095</v>
      </c>
      <c r="F1005" t="s">
        <v>74</v>
      </c>
      <c r="G1005">
        <v>92</v>
      </c>
      <c r="H1005" t="s">
        <v>63</v>
      </c>
      <c r="I1005">
        <v>5</v>
      </c>
      <c r="J1005" t="str">
        <f>HYPERLINK("Gene1988-zp_tree_all.dnd", "Gene1988-tree")</f>
        <v>Gene1988-tree</v>
      </c>
      <c r="L1005" t="s">
        <v>71</v>
      </c>
    </row>
    <row r="1006" spans="1:12">
      <c r="A1006">
        <v>1998</v>
      </c>
      <c r="B1006" t="s">
        <v>2104</v>
      </c>
      <c r="D1006" t="s">
        <v>60</v>
      </c>
      <c r="E1006" t="s">
        <v>2105</v>
      </c>
      <c r="F1006" t="s">
        <v>74</v>
      </c>
      <c r="G1006">
        <v>66</v>
      </c>
      <c r="H1006" t="s">
        <v>85</v>
      </c>
      <c r="I1006">
        <v>4</v>
      </c>
      <c r="J1006" t="str">
        <f>HYPERLINK("Gene1998-zp_tree_all.dnd", "Gene1998-tree")</f>
        <v>Gene1998-tree</v>
      </c>
      <c r="L1006" t="s">
        <v>139</v>
      </c>
    </row>
    <row r="1007" spans="1:12">
      <c r="A1007">
        <v>2002</v>
      </c>
      <c r="B1007" t="s">
        <v>2106</v>
      </c>
      <c r="D1007" t="s">
        <v>60</v>
      </c>
      <c r="E1007" t="s">
        <v>2107</v>
      </c>
      <c r="F1007" t="s">
        <v>74</v>
      </c>
      <c r="G1007">
        <v>83</v>
      </c>
      <c r="H1007" t="s">
        <v>106</v>
      </c>
      <c r="I1007">
        <v>4</v>
      </c>
      <c r="J1007" t="str">
        <f>HYPERLINK("Gene2002-zp_tree_all.dnd", "Gene2002-tree")</f>
        <v>Gene2002-tree</v>
      </c>
      <c r="L1007" t="s">
        <v>139</v>
      </c>
    </row>
    <row r="1008" spans="1:12">
      <c r="A1008">
        <v>2008</v>
      </c>
      <c r="B1008" t="s">
        <v>2120</v>
      </c>
      <c r="D1008" t="s">
        <v>66</v>
      </c>
      <c r="E1008" t="s">
        <v>2121</v>
      </c>
      <c r="F1008" t="s">
        <v>74</v>
      </c>
      <c r="G1008">
        <v>58</v>
      </c>
      <c r="H1008" t="s">
        <v>63</v>
      </c>
      <c r="I1008">
        <v>5</v>
      </c>
      <c r="J1008" t="str">
        <f>HYPERLINK("Gene2008-zp_tree_all.dnd", "Gene2008-tree")</f>
        <v>Gene2008-tree</v>
      </c>
      <c r="L1008" t="s">
        <v>71</v>
      </c>
    </row>
    <row r="1009" spans="1:12">
      <c r="A1009">
        <v>2218</v>
      </c>
      <c r="B1009" t="s">
        <v>2137</v>
      </c>
      <c r="D1009" t="s">
        <v>66</v>
      </c>
      <c r="E1009" t="s">
        <v>2138</v>
      </c>
      <c r="F1009" t="s">
        <v>74</v>
      </c>
      <c r="G1009">
        <v>64</v>
      </c>
      <c r="H1009" t="s">
        <v>85</v>
      </c>
      <c r="I1009">
        <v>4</v>
      </c>
      <c r="J1009" t="str">
        <f>HYPERLINK("Gene2218-zp_tree_all.dnd", "Gene2218-tree")</f>
        <v>Gene2218-tree</v>
      </c>
      <c r="L1009" t="s">
        <v>71</v>
      </c>
    </row>
    <row r="1010" spans="1:12">
      <c r="A1010">
        <v>2232</v>
      </c>
      <c r="B1010" t="s">
        <v>2147</v>
      </c>
      <c r="D1010" t="s">
        <v>66</v>
      </c>
      <c r="E1010" t="s">
        <v>2148</v>
      </c>
      <c r="F1010" t="s">
        <v>74</v>
      </c>
      <c r="G1010">
        <v>144</v>
      </c>
      <c r="H1010" t="s">
        <v>85</v>
      </c>
      <c r="I1010">
        <v>4</v>
      </c>
      <c r="J1010" t="str">
        <f>HYPERLINK("Gene2232-zp_tree_all.dnd", "Gene2232-tree")</f>
        <v>Gene2232-tree</v>
      </c>
      <c r="L1010" t="s">
        <v>71</v>
      </c>
    </row>
    <row r="1011" spans="1:12">
      <c r="A1011">
        <v>2239</v>
      </c>
      <c r="B1011" t="s">
        <v>2154</v>
      </c>
      <c r="D1011" t="s">
        <v>60</v>
      </c>
      <c r="E1011" t="s">
        <v>2155</v>
      </c>
      <c r="F1011" t="s">
        <v>2156</v>
      </c>
      <c r="G1011">
        <v>66</v>
      </c>
      <c r="H1011" t="s">
        <v>63</v>
      </c>
      <c r="I1011">
        <v>5</v>
      </c>
      <c r="J1011" t="str">
        <f>HYPERLINK("Gene2239-zp_tree_all.dnd", "Gene2239-tree")</f>
        <v>Gene2239-tree</v>
      </c>
      <c r="L1011" t="s">
        <v>139</v>
      </c>
    </row>
    <row r="1012" spans="1:12">
      <c r="A1012">
        <v>2246</v>
      </c>
      <c r="B1012" t="s">
        <v>2165</v>
      </c>
      <c r="D1012" t="s">
        <v>60</v>
      </c>
      <c r="E1012" t="s">
        <v>2166</v>
      </c>
      <c r="F1012" t="s">
        <v>2167</v>
      </c>
      <c r="G1012">
        <v>42</v>
      </c>
      <c r="H1012" t="s">
        <v>63</v>
      </c>
      <c r="I1012">
        <v>5</v>
      </c>
      <c r="J1012" t="str">
        <f>HYPERLINK("Gene2246-zp_tree_all.dnd", "Gene2246-tree")</f>
        <v>Gene2246-tree</v>
      </c>
      <c r="L1012" t="s">
        <v>139</v>
      </c>
    </row>
    <row r="1013" spans="1:12">
      <c r="A1013">
        <v>2266</v>
      </c>
      <c r="B1013" t="s">
        <v>2172</v>
      </c>
      <c r="D1013" t="s">
        <v>66</v>
      </c>
      <c r="E1013" t="s">
        <v>2173</v>
      </c>
      <c r="F1013" t="s">
        <v>2174</v>
      </c>
      <c r="G1013">
        <v>98</v>
      </c>
      <c r="H1013" t="s">
        <v>63</v>
      </c>
      <c r="I1013">
        <v>5</v>
      </c>
      <c r="J1013" t="str">
        <f>HYPERLINK("Gene2266-zp_tree_all.dnd", "Gene2266-tree")</f>
        <v>Gene2266-tree</v>
      </c>
      <c r="L1013" t="s">
        <v>71</v>
      </c>
    </row>
    <row r="1014" spans="1:12">
      <c r="A1014">
        <v>2268</v>
      </c>
      <c r="B1014" t="s">
        <v>2175</v>
      </c>
      <c r="D1014" t="s">
        <v>66</v>
      </c>
      <c r="E1014" t="s">
        <v>2176</v>
      </c>
      <c r="F1014" t="s">
        <v>2177</v>
      </c>
      <c r="G1014">
        <v>75</v>
      </c>
      <c r="H1014" t="s">
        <v>63</v>
      </c>
      <c r="I1014">
        <v>5</v>
      </c>
      <c r="J1014" t="str">
        <f>HYPERLINK("Gene2268-zp_tree_all.dnd", "Gene2268-tree")</f>
        <v>Gene2268-tree</v>
      </c>
      <c r="L1014" t="s">
        <v>71</v>
      </c>
    </row>
    <row r="1015" spans="1:12">
      <c r="A1015">
        <v>2274</v>
      </c>
      <c r="B1015" t="s">
        <v>2178</v>
      </c>
      <c r="D1015" t="s">
        <v>60</v>
      </c>
      <c r="E1015" t="s">
        <v>2179</v>
      </c>
      <c r="F1015" t="s">
        <v>74</v>
      </c>
      <c r="G1015">
        <v>62</v>
      </c>
      <c r="H1015" t="s">
        <v>63</v>
      </c>
      <c r="I1015">
        <v>5</v>
      </c>
      <c r="J1015" t="str">
        <f>HYPERLINK("Gene2274-zp_tree_all.dnd", "Gene2274-tree")</f>
        <v>Gene2274-tree</v>
      </c>
      <c r="L1015" t="s">
        <v>139</v>
      </c>
    </row>
    <row r="1016" spans="1:12">
      <c r="A1016">
        <v>2277</v>
      </c>
      <c r="B1016" t="s">
        <v>2180</v>
      </c>
      <c r="D1016" t="s">
        <v>60</v>
      </c>
      <c r="E1016" t="s">
        <v>2181</v>
      </c>
      <c r="F1016" t="s">
        <v>2182</v>
      </c>
      <c r="G1016">
        <v>34</v>
      </c>
      <c r="H1016" t="s">
        <v>63</v>
      </c>
      <c r="I1016">
        <v>5</v>
      </c>
      <c r="J1016" t="str">
        <f>HYPERLINK("Gene2277-zp_tree_all.dnd", "Gene2277-tree")</f>
        <v>Gene2277-tree</v>
      </c>
      <c r="L1016" t="s">
        <v>139</v>
      </c>
    </row>
    <row r="1017" spans="1:12">
      <c r="A1017">
        <v>2287</v>
      </c>
      <c r="B1017" t="s">
        <v>2197</v>
      </c>
      <c r="D1017" t="s">
        <v>66</v>
      </c>
      <c r="E1017" t="s">
        <v>2198</v>
      </c>
      <c r="F1017" t="s">
        <v>74</v>
      </c>
      <c r="G1017">
        <v>56</v>
      </c>
      <c r="H1017" t="s">
        <v>106</v>
      </c>
      <c r="I1017">
        <v>4</v>
      </c>
      <c r="J1017" t="str">
        <f>HYPERLINK("Gene2287-zp_tree_all.dnd", "Gene2287-tree")</f>
        <v>Gene2287-tree</v>
      </c>
      <c r="L1017" t="s">
        <v>71</v>
      </c>
    </row>
    <row r="1018" spans="1:12">
      <c r="A1018">
        <v>2327</v>
      </c>
      <c r="B1018" t="s">
        <v>2261</v>
      </c>
      <c r="D1018" t="s">
        <v>66</v>
      </c>
      <c r="E1018" t="s">
        <v>2262</v>
      </c>
      <c r="F1018" t="s">
        <v>2263</v>
      </c>
      <c r="G1018">
        <v>92</v>
      </c>
      <c r="H1018" t="s">
        <v>63</v>
      </c>
      <c r="I1018">
        <v>5</v>
      </c>
      <c r="J1018" t="str">
        <f>HYPERLINK("Gene2327-zp_tree_all.dnd", "Gene2327-tree")</f>
        <v>Gene2327-tree</v>
      </c>
      <c r="L1018" t="s">
        <v>71</v>
      </c>
    </row>
    <row r="1019" spans="1:12">
      <c r="A1019">
        <v>2340</v>
      </c>
      <c r="B1019" t="s">
        <v>2279</v>
      </c>
      <c r="D1019" t="s">
        <v>66</v>
      </c>
      <c r="E1019" t="s">
        <v>2280</v>
      </c>
      <c r="F1019" t="s">
        <v>74</v>
      </c>
      <c r="G1019">
        <v>58</v>
      </c>
      <c r="H1019" t="s">
        <v>63</v>
      </c>
      <c r="I1019">
        <v>5</v>
      </c>
      <c r="J1019" t="str">
        <f>HYPERLINK("Gene2340-zp_tree_all.dnd", "Gene2340-tree")</f>
        <v>Gene2340-tree</v>
      </c>
      <c r="L1019" t="s">
        <v>71</v>
      </c>
    </row>
    <row r="1020" spans="1:12">
      <c r="A1020">
        <v>2356</v>
      </c>
      <c r="B1020" t="s">
        <v>2294</v>
      </c>
      <c r="D1020" t="s">
        <v>66</v>
      </c>
      <c r="E1020" t="s">
        <v>2295</v>
      </c>
      <c r="F1020" t="s">
        <v>74</v>
      </c>
      <c r="G1020">
        <v>54</v>
      </c>
      <c r="H1020" t="s">
        <v>63</v>
      </c>
      <c r="I1020">
        <v>5</v>
      </c>
      <c r="J1020" t="str">
        <f>HYPERLINK("Gene2356-zp_tree_all.dnd", "Gene2356-tree")</f>
        <v>Gene2356-tree</v>
      </c>
      <c r="L1020" t="s">
        <v>71</v>
      </c>
    </row>
    <row r="1021" spans="1:12">
      <c r="A1021">
        <v>2367</v>
      </c>
      <c r="B1021" t="s">
        <v>2305</v>
      </c>
      <c r="D1021" t="s">
        <v>66</v>
      </c>
      <c r="E1021" t="s">
        <v>2306</v>
      </c>
      <c r="F1021" t="s">
        <v>2307</v>
      </c>
      <c r="G1021">
        <v>178</v>
      </c>
      <c r="H1021" t="s">
        <v>85</v>
      </c>
      <c r="I1021">
        <v>4</v>
      </c>
      <c r="J1021" t="str">
        <f>HYPERLINK("Gene2367-zp_tree_all.dnd", "Gene2367-tree")</f>
        <v>Gene2367-tree</v>
      </c>
      <c r="L1021" t="s">
        <v>71</v>
      </c>
    </row>
    <row r="1022" spans="1:12">
      <c r="A1022">
        <v>2402</v>
      </c>
      <c r="B1022" t="s">
        <v>2356</v>
      </c>
      <c r="D1022" t="s">
        <v>66</v>
      </c>
      <c r="E1022" t="s">
        <v>2357</v>
      </c>
      <c r="F1022" t="s">
        <v>74</v>
      </c>
      <c r="G1022">
        <v>75</v>
      </c>
      <c r="H1022" t="s">
        <v>63</v>
      </c>
      <c r="I1022">
        <v>5</v>
      </c>
      <c r="J1022" t="str">
        <f>HYPERLINK("Gene2402-zp_tree_all.dnd", "Gene2402-tree")</f>
        <v>Gene2402-tree</v>
      </c>
      <c r="L1022" t="s">
        <v>71</v>
      </c>
    </row>
    <row r="1023" spans="1:12">
      <c r="A1023">
        <v>2416</v>
      </c>
      <c r="B1023" t="s">
        <v>2367</v>
      </c>
      <c r="D1023" t="s">
        <v>66</v>
      </c>
      <c r="E1023" t="s">
        <v>2368</v>
      </c>
      <c r="F1023" t="s">
        <v>74</v>
      </c>
      <c r="G1023">
        <v>79</v>
      </c>
      <c r="H1023" t="s">
        <v>63</v>
      </c>
      <c r="I1023">
        <v>5</v>
      </c>
      <c r="J1023" t="str">
        <f>HYPERLINK("Gene2416-zp_tree_all.dnd", "Gene2416-tree")</f>
        <v>Gene2416-tree</v>
      </c>
      <c r="L1023" t="s">
        <v>71</v>
      </c>
    </row>
    <row r="1024" spans="1:12">
      <c r="A1024">
        <v>2438</v>
      </c>
      <c r="B1024" t="s">
        <v>2383</v>
      </c>
      <c r="D1024" t="s">
        <v>66</v>
      </c>
      <c r="E1024" t="s">
        <v>2384</v>
      </c>
      <c r="F1024" t="s">
        <v>2385</v>
      </c>
      <c r="G1024">
        <v>414</v>
      </c>
      <c r="H1024" t="s">
        <v>85</v>
      </c>
      <c r="I1024">
        <v>4</v>
      </c>
      <c r="J1024" t="str">
        <f>HYPERLINK("Gene2438-zp_tree_all.dnd", "Gene2438-tree")</f>
        <v>Gene2438-tree</v>
      </c>
      <c r="L1024" t="s">
        <v>71</v>
      </c>
    </row>
    <row r="1025" spans="1:12">
      <c r="A1025">
        <v>2483</v>
      </c>
      <c r="B1025" t="s">
        <v>2427</v>
      </c>
      <c r="D1025" t="s">
        <v>66</v>
      </c>
      <c r="E1025" t="s">
        <v>2428</v>
      </c>
      <c r="F1025" t="s">
        <v>2429</v>
      </c>
      <c r="G1025">
        <v>131</v>
      </c>
      <c r="H1025" t="s">
        <v>63</v>
      </c>
      <c r="I1025">
        <v>5</v>
      </c>
      <c r="J1025" t="str">
        <f>HYPERLINK("Gene2483-zp_tree_all.dnd", "Gene2483-tree")</f>
        <v>Gene2483-tree</v>
      </c>
      <c r="L1025" t="s">
        <v>71</v>
      </c>
    </row>
    <row r="1026" spans="1:12">
      <c r="A1026">
        <v>2492</v>
      </c>
      <c r="B1026" t="s">
        <v>2456</v>
      </c>
      <c r="D1026" t="s">
        <v>66</v>
      </c>
      <c r="E1026" t="s">
        <v>2457</v>
      </c>
      <c r="F1026" t="s">
        <v>2458</v>
      </c>
      <c r="G1026">
        <v>68</v>
      </c>
      <c r="H1026" t="s">
        <v>63</v>
      </c>
      <c r="I1026">
        <v>5</v>
      </c>
      <c r="J1026" t="str">
        <f>HYPERLINK("Gene2492-zp_tree_all.dnd", "Gene2492-tree")</f>
        <v>Gene2492-tree</v>
      </c>
      <c r="L1026" t="s">
        <v>71</v>
      </c>
    </row>
    <row r="1027" spans="1:12">
      <c r="A1027">
        <v>2511</v>
      </c>
      <c r="B1027" t="s">
        <v>2495</v>
      </c>
      <c r="D1027" t="s">
        <v>60</v>
      </c>
      <c r="E1027" t="s">
        <v>2496</v>
      </c>
      <c r="F1027" t="s">
        <v>2497</v>
      </c>
      <c r="G1027">
        <v>57</v>
      </c>
      <c r="H1027" t="s">
        <v>63</v>
      </c>
      <c r="I1027">
        <v>5</v>
      </c>
      <c r="J1027" t="str">
        <f>HYPERLINK("Gene2511-zp_tree_all.dnd", "Gene2511-tree")</f>
        <v>Gene2511-tree</v>
      </c>
      <c r="L1027" t="s">
        <v>139</v>
      </c>
    </row>
    <row r="1028" spans="1:12">
      <c r="A1028">
        <v>2512</v>
      </c>
      <c r="B1028" t="s">
        <v>2498</v>
      </c>
      <c r="D1028" t="s">
        <v>60</v>
      </c>
      <c r="E1028" t="s">
        <v>2499</v>
      </c>
      <c r="F1028" t="s">
        <v>242</v>
      </c>
      <c r="G1028">
        <v>111</v>
      </c>
      <c r="H1028" t="s">
        <v>63</v>
      </c>
      <c r="I1028">
        <v>5</v>
      </c>
      <c r="J1028" t="str">
        <f>HYPERLINK("Gene2512-zp_tree_all.dnd", "Gene2512-tree")</f>
        <v>Gene2512-tree</v>
      </c>
      <c r="L1028" t="s">
        <v>139</v>
      </c>
    </row>
    <row r="1029" spans="1:12">
      <c r="A1029">
        <v>2541</v>
      </c>
      <c r="B1029" t="s">
        <v>305</v>
      </c>
      <c r="D1029" t="s">
        <v>66</v>
      </c>
      <c r="E1029" t="s">
        <v>2507</v>
      </c>
      <c r="F1029" t="s">
        <v>307</v>
      </c>
      <c r="G1029">
        <v>49</v>
      </c>
      <c r="H1029" t="s">
        <v>63</v>
      </c>
      <c r="I1029">
        <v>5</v>
      </c>
      <c r="J1029" t="str">
        <f>HYPERLINK("Gene2541-zp_tree_all.dnd", "Gene2541-tree")</f>
        <v>Gene2541-tree</v>
      </c>
      <c r="L1029" t="s">
        <v>71</v>
      </c>
    </row>
    <row r="1030" spans="1:12">
      <c r="A1030">
        <v>2541</v>
      </c>
      <c r="B1030" t="s">
        <v>305</v>
      </c>
      <c r="D1030" t="s">
        <v>66</v>
      </c>
      <c r="E1030" t="s">
        <v>2507</v>
      </c>
      <c r="F1030" t="s">
        <v>307</v>
      </c>
      <c r="G1030">
        <v>49</v>
      </c>
      <c r="H1030" t="s">
        <v>63</v>
      </c>
      <c r="I1030">
        <v>5</v>
      </c>
      <c r="J1030" t="str">
        <f>HYPERLINK("Gene2541-zp_tree_all.dnd", "Gene2541-tree")</f>
        <v>Gene2541-tree</v>
      </c>
      <c r="L1030" t="s">
        <v>71</v>
      </c>
    </row>
    <row r="1031" spans="1:12">
      <c r="A1031">
        <v>2580</v>
      </c>
      <c r="B1031" t="s">
        <v>2551</v>
      </c>
      <c r="D1031" t="s">
        <v>66</v>
      </c>
      <c r="E1031" t="s">
        <v>2552</v>
      </c>
      <c r="F1031" t="s">
        <v>74</v>
      </c>
      <c r="G1031">
        <v>47</v>
      </c>
      <c r="H1031" t="s">
        <v>63</v>
      </c>
      <c r="I1031">
        <v>5</v>
      </c>
      <c r="J1031" t="str">
        <f>HYPERLINK("Gene2580-zp_tree_all.dnd", "Gene2580-tree")</f>
        <v>Gene2580-tree</v>
      </c>
      <c r="L1031" t="s">
        <v>71</v>
      </c>
    </row>
    <row r="1032" spans="1:12">
      <c r="A1032">
        <v>2592</v>
      </c>
      <c r="B1032" t="s">
        <v>2573</v>
      </c>
      <c r="D1032" t="s">
        <v>66</v>
      </c>
      <c r="E1032" t="s">
        <v>2574</v>
      </c>
      <c r="F1032" t="s">
        <v>74</v>
      </c>
      <c r="G1032">
        <v>148</v>
      </c>
      <c r="H1032" t="s">
        <v>63</v>
      </c>
      <c r="I1032">
        <v>5</v>
      </c>
      <c r="J1032" t="str">
        <f>HYPERLINK("Gene2592-zp_tree_all.dnd", "Gene2592-tree")</f>
        <v>Gene2592-tree</v>
      </c>
      <c r="L1032" t="s">
        <v>71</v>
      </c>
    </row>
    <row r="1033" spans="1:12">
      <c r="A1033">
        <v>2593</v>
      </c>
      <c r="B1033" t="s">
        <v>2575</v>
      </c>
      <c r="D1033" t="s">
        <v>66</v>
      </c>
      <c r="E1033" t="s">
        <v>2576</v>
      </c>
      <c r="F1033" t="s">
        <v>2577</v>
      </c>
      <c r="G1033">
        <v>57</v>
      </c>
      <c r="H1033" t="s">
        <v>63</v>
      </c>
      <c r="I1033">
        <v>5</v>
      </c>
      <c r="J1033" t="str">
        <f>HYPERLINK("Gene2593-zp_tree_all.dnd", "Gene2593-tree")</f>
        <v>Gene2593-tree</v>
      </c>
      <c r="L1033" t="s">
        <v>71</v>
      </c>
    </row>
    <row r="1034" spans="1:12">
      <c r="A1034">
        <v>2607</v>
      </c>
      <c r="B1034" t="s">
        <v>2606</v>
      </c>
      <c r="D1034" t="s">
        <v>60</v>
      </c>
      <c r="E1034" t="s">
        <v>2607</v>
      </c>
      <c r="F1034" t="s">
        <v>2608</v>
      </c>
      <c r="G1034">
        <v>88</v>
      </c>
      <c r="H1034" t="s">
        <v>63</v>
      </c>
      <c r="I1034">
        <v>5</v>
      </c>
      <c r="J1034" t="str">
        <f>HYPERLINK("Gene2607-zp_tree_all.dnd", "Gene2607-tree")</f>
        <v>Gene2607-tree</v>
      </c>
      <c r="L1034" t="s">
        <v>139</v>
      </c>
    </row>
    <row r="1035" spans="1:12">
      <c r="A1035">
        <v>2622</v>
      </c>
      <c r="B1035" t="s">
        <v>2631</v>
      </c>
      <c r="D1035" t="s">
        <v>60</v>
      </c>
      <c r="E1035" t="s">
        <v>2632</v>
      </c>
      <c r="F1035" t="s">
        <v>2633</v>
      </c>
      <c r="G1035">
        <v>52</v>
      </c>
      <c r="H1035" t="s">
        <v>63</v>
      </c>
      <c r="I1035">
        <v>5</v>
      </c>
      <c r="J1035" t="str">
        <f>HYPERLINK("Gene2622-zp_tree_all.dnd", "Gene2622-tree")</f>
        <v>Gene2622-tree</v>
      </c>
      <c r="L1035" t="s">
        <v>139</v>
      </c>
    </row>
    <row r="1036" spans="1:12">
      <c r="A1036">
        <v>2636</v>
      </c>
      <c r="B1036" t="s">
        <v>2634</v>
      </c>
      <c r="D1036" t="s">
        <v>60</v>
      </c>
      <c r="E1036" t="s">
        <v>2635</v>
      </c>
      <c r="F1036" t="s">
        <v>2636</v>
      </c>
      <c r="G1036">
        <v>44</v>
      </c>
      <c r="H1036" t="s">
        <v>85</v>
      </c>
      <c r="I1036">
        <v>4</v>
      </c>
      <c r="J1036" t="str">
        <f>HYPERLINK("Gene2636-zp_tree_all.dnd", "Gene2636-tree")</f>
        <v>Gene2636-tree</v>
      </c>
      <c r="L1036" t="s">
        <v>139</v>
      </c>
    </row>
    <row r="1037" spans="1:12">
      <c r="A1037">
        <v>2789</v>
      </c>
      <c r="B1037" t="s">
        <v>2692</v>
      </c>
      <c r="D1037" t="s">
        <v>66</v>
      </c>
      <c r="E1037" t="s">
        <v>2693</v>
      </c>
      <c r="F1037" t="s">
        <v>74</v>
      </c>
      <c r="G1037">
        <v>88</v>
      </c>
      <c r="H1037" t="s">
        <v>63</v>
      </c>
      <c r="I1037">
        <v>5</v>
      </c>
      <c r="J1037" t="str">
        <f>HYPERLINK("Gene2789-zp_tree_all.dnd", "Gene2789-tree")</f>
        <v>Gene2789-tree</v>
      </c>
      <c r="L1037" t="s">
        <v>71</v>
      </c>
    </row>
    <row r="1038" spans="1:12">
      <c r="A1038">
        <v>2796</v>
      </c>
      <c r="B1038" t="s">
        <v>2694</v>
      </c>
      <c r="D1038" t="s">
        <v>66</v>
      </c>
      <c r="E1038" t="s">
        <v>2695</v>
      </c>
      <c r="F1038" t="s">
        <v>74</v>
      </c>
      <c r="G1038">
        <v>43</v>
      </c>
      <c r="H1038" t="s">
        <v>63</v>
      </c>
      <c r="I1038">
        <v>5</v>
      </c>
      <c r="J1038" t="str">
        <f>HYPERLINK("Gene2796-zp_tree_all.dnd", "Gene2796-tree")</f>
        <v>Gene2796-tree</v>
      </c>
      <c r="L1038" t="s">
        <v>71</v>
      </c>
    </row>
    <row r="1039" spans="1:12">
      <c r="A1039">
        <v>2797</v>
      </c>
      <c r="B1039" t="s">
        <v>2696</v>
      </c>
      <c r="D1039" t="s">
        <v>66</v>
      </c>
      <c r="E1039" t="s">
        <v>2697</v>
      </c>
      <c r="F1039" t="s">
        <v>74</v>
      </c>
      <c r="G1039">
        <v>63</v>
      </c>
      <c r="H1039" t="s">
        <v>63</v>
      </c>
      <c r="I1039">
        <v>5</v>
      </c>
      <c r="J1039" t="str">
        <f>HYPERLINK("Gene2797-zp_tree_all.dnd", "Gene2797-tree")</f>
        <v>Gene2797-tree</v>
      </c>
      <c r="L1039" t="s">
        <v>71</v>
      </c>
    </row>
    <row r="1040" spans="1:12">
      <c r="A1040">
        <v>2830</v>
      </c>
      <c r="B1040" t="s">
        <v>2745</v>
      </c>
      <c r="D1040" t="s">
        <v>60</v>
      </c>
      <c r="E1040" t="s">
        <v>2746</v>
      </c>
      <c r="F1040" t="s">
        <v>736</v>
      </c>
      <c r="G1040">
        <v>215</v>
      </c>
      <c r="H1040" t="s">
        <v>106</v>
      </c>
      <c r="I1040">
        <v>4</v>
      </c>
      <c r="J1040" t="str">
        <f>HYPERLINK("Gene2830-zp_tree_all.dnd", "Gene2830-tree")</f>
        <v>Gene2830-tree</v>
      </c>
      <c r="L1040" t="s">
        <v>139</v>
      </c>
    </row>
    <row r="1041" spans="1:12">
      <c r="A1041">
        <v>2846</v>
      </c>
      <c r="B1041" t="s">
        <v>2759</v>
      </c>
      <c r="D1041" t="s">
        <v>66</v>
      </c>
      <c r="E1041" t="s">
        <v>2760</v>
      </c>
      <c r="F1041" t="s">
        <v>2761</v>
      </c>
      <c r="G1041">
        <v>94</v>
      </c>
      <c r="H1041" t="s">
        <v>63</v>
      </c>
      <c r="I1041">
        <v>5</v>
      </c>
      <c r="J1041" t="str">
        <f>HYPERLINK("Gene2846-zp_tree_all.dnd", "Gene2846-tree")</f>
        <v>Gene2846-tree</v>
      </c>
      <c r="L1041" t="s">
        <v>71</v>
      </c>
    </row>
    <row r="1042" spans="1:12">
      <c r="A1042">
        <v>2862</v>
      </c>
      <c r="B1042" t="s">
        <v>2796</v>
      </c>
      <c r="D1042" t="s">
        <v>60</v>
      </c>
      <c r="E1042" t="s">
        <v>2797</v>
      </c>
      <c r="F1042" t="s">
        <v>74</v>
      </c>
      <c r="G1042">
        <v>63</v>
      </c>
      <c r="H1042" t="s">
        <v>106</v>
      </c>
      <c r="I1042">
        <v>4</v>
      </c>
      <c r="J1042" t="str">
        <f>HYPERLINK("Gene2862-zp_tree_all.dnd", "Gene2862-tree")</f>
        <v>Gene2862-tree</v>
      </c>
      <c r="L1042" t="s">
        <v>139</v>
      </c>
    </row>
    <row r="1043" spans="1:12">
      <c r="A1043">
        <v>2894</v>
      </c>
      <c r="B1043" t="s">
        <v>2845</v>
      </c>
      <c r="D1043" t="s">
        <v>66</v>
      </c>
      <c r="E1043" t="s">
        <v>2846</v>
      </c>
      <c r="F1043" t="s">
        <v>2847</v>
      </c>
      <c r="G1043">
        <v>74</v>
      </c>
      <c r="H1043" t="s">
        <v>63</v>
      </c>
      <c r="I1043">
        <v>5</v>
      </c>
      <c r="J1043" t="str">
        <f>HYPERLINK("Gene2894-zp_tree_all.dnd", "Gene2894-tree")</f>
        <v>Gene2894-tree</v>
      </c>
      <c r="L1043" t="s">
        <v>71</v>
      </c>
    </row>
    <row r="1044" spans="1:12">
      <c r="A1044">
        <v>2902</v>
      </c>
      <c r="B1044" t="s">
        <v>2859</v>
      </c>
      <c r="D1044" t="s">
        <v>66</v>
      </c>
      <c r="E1044" t="s">
        <v>2860</v>
      </c>
      <c r="F1044" t="s">
        <v>716</v>
      </c>
      <c r="G1044">
        <v>104</v>
      </c>
      <c r="H1044" t="s">
        <v>85</v>
      </c>
      <c r="I1044">
        <v>4</v>
      </c>
      <c r="J1044" t="str">
        <f>HYPERLINK("Gene2902-zp_tree_all.dnd", "Gene2902-tree")</f>
        <v>Gene2902-tree</v>
      </c>
      <c r="L1044" t="s">
        <v>71</v>
      </c>
    </row>
    <row r="1045" spans="1:12">
      <c r="A1045">
        <v>2937</v>
      </c>
      <c r="B1045" t="s">
        <v>2902</v>
      </c>
      <c r="D1045" t="s">
        <v>66</v>
      </c>
      <c r="E1045" t="s">
        <v>2903</v>
      </c>
      <c r="F1045" t="s">
        <v>2904</v>
      </c>
      <c r="G1045">
        <v>119</v>
      </c>
      <c r="H1045" t="s">
        <v>63</v>
      </c>
      <c r="I1045">
        <v>5</v>
      </c>
      <c r="J1045" t="str">
        <f>HYPERLINK("Gene2937-zp_tree_all.dnd", "Gene2937-tree")</f>
        <v>Gene2937-tree</v>
      </c>
      <c r="L1045" t="s">
        <v>71</v>
      </c>
    </row>
    <row r="1046" spans="1:12">
      <c r="A1046">
        <v>2938</v>
      </c>
      <c r="B1046" t="s">
        <v>2905</v>
      </c>
      <c r="D1046" t="s">
        <v>66</v>
      </c>
      <c r="E1046" t="s">
        <v>2906</v>
      </c>
      <c r="F1046" t="s">
        <v>2907</v>
      </c>
      <c r="G1046">
        <v>66</v>
      </c>
      <c r="H1046" t="s">
        <v>63</v>
      </c>
      <c r="I1046">
        <v>5</v>
      </c>
      <c r="J1046" t="str">
        <f>HYPERLINK("Gene2938-zp_tree_all.dnd", "Gene2938-tree")</f>
        <v>Gene2938-tree</v>
      </c>
      <c r="L1046" t="s">
        <v>71</v>
      </c>
    </row>
    <row r="1047" spans="1:12">
      <c r="A1047">
        <v>2939</v>
      </c>
      <c r="B1047" t="s">
        <v>2908</v>
      </c>
      <c r="D1047" t="s">
        <v>66</v>
      </c>
      <c r="E1047" t="s">
        <v>2909</v>
      </c>
      <c r="F1047" t="s">
        <v>2910</v>
      </c>
      <c r="G1047">
        <v>173</v>
      </c>
      <c r="H1047" t="s">
        <v>63</v>
      </c>
      <c r="I1047">
        <v>5</v>
      </c>
      <c r="J1047" t="str">
        <f>HYPERLINK("Gene2939-zp_tree_all.dnd", "Gene2939-tree")</f>
        <v>Gene2939-tree</v>
      </c>
      <c r="L1047" t="s">
        <v>71</v>
      </c>
    </row>
    <row r="1048" spans="1:12">
      <c r="A1048">
        <v>3010</v>
      </c>
      <c r="B1048" t="s">
        <v>3008</v>
      </c>
      <c r="D1048" t="s">
        <v>66</v>
      </c>
      <c r="E1048" t="s">
        <v>3009</v>
      </c>
      <c r="F1048" t="s">
        <v>3010</v>
      </c>
      <c r="G1048">
        <v>69</v>
      </c>
      <c r="H1048" t="s">
        <v>63</v>
      </c>
      <c r="I1048">
        <v>5</v>
      </c>
      <c r="J1048" t="str">
        <f>HYPERLINK("Gene3010-zp_tree_all.dnd", "Gene3010-tree")</f>
        <v>Gene3010-tree</v>
      </c>
      <c r="L1048" t="s">
        <v>71</v>
      </c>
    </row>
    <row r="1049" spans="1:12">
      <c r="A1049">
        <v>3021</v>
      </c>
      <c r="B1049" t="s">
        <v>3019</v>
      </c>
      <c r="D1049" t="s">
        <v>66</v>
      </c>
      <c r="E1049" t="s">
        <v>3020</v>
      </c>
      <c r="F1049" t="s">
        <v>74</v>
      </c>
      <c r="G1049">
        <v>47</v>
      </c>
      <c r="H1049" t="s">
        <v>63</v>
      </c>
      <c r="I1049">
        <v>5</v>
      </c>
      <c r="J1049" t="str">
        <f>HYPERLINK("Gene3021-zp_tree_all.dnd", "Gene3021-tree")</f>
        <v>Gene3021-tree</v>
      </c>
      <c r="L1049" t="s">
        <v>71</v>
      </c>
    </row>
    <row r="1050" spans="1:12">
      <c r="A1050">
        <v>3055</v>
      </c>
      <c r="B1050" t="s">
        <v>3071</v>
      </c>
      <c r="D1050" t="s">
        <v>60</v>
      </c>
      <c r="E1050" t="s">
        <v>3072</v>
      </c>
      <c r="F1050" t="s">
        <v>1453</v>
      </c>
      <c r="G1050">
        <v>73</v>
      </c>
      <c r="H1050" t="s">
        <v>63</v>
      </c>
      <c r="I1050">
        <v>5</v>
      </c>
      <c r="J1050" t="str">
        <f>HYPERLINK("Gene3055-zp_tree_all.dnd", "Gene3055-tree")</f>
        <v>Gene3055-tree</v>
      </c>
      <c r="L1050" t="s">
        <v>139</v>
      </c>
    </row>
    <row r="1051" spans="1:12">
      <c r="A1051">
        <v>3084</v>
      </c>
      <c r="B1051" t="s">
        <v>3092</v>
      </c>
      <c r="D1051" t="s">
        <v>66</v>
      </c>
      <c r="E1051" t="s">
        <v>3093</v>
      </c>
      <c r="F1051" t="s">
        <v>74</v>
      </c>
      <c r="G1051">
        <v>109</v>
      </c>
      <c r="H1051" t="s">
        <v>63</v>
      </c>
      <c r="I1051">
        <v>5</v>
      </c>
      <c r="J1051" t="str">
        <f>HYPERLINK("Gene3084-zp_tree_all.dnd", "Gene3084-tree")</f>
        <v>Gene3084-tree</v>
      </c>
      <c r="L1051" t="s">
        <v>71</v>
      </c>
    </row>
    <row r="1052" spans="1:12">
      <c r="A1052">
        <v>3124</v>
      </c>
      <c r="B1052" t="s">
        <v>3141</v>
      </c>
      <c r="D1052" t="s">
        <v>60</v>
      </c>
      <c r="E1052" t="s">
        <v>3142</v>
      </c>
      <c r="F1052" t="s">
        <v>74</v>
      </c>
      <c r="G1052">
        <v>52</v>
      </c>
      <c r="H1052" t="s">
        <v>63</v>
      </c>
      <c r="I1052">
        <v>5</v>
      </c>
      <c r="J1052" t="str">
        <f>HYPERLINK("Gene3124-zp_tree_all.dnd", "Gene3124-tree")</f>
        <v>Gene3124-tree</v>
      </c>
      <c r="L1052" t="s">
        <v>139</v>
      </c>
    </row>
    <row r="1053" spans="1:12">
      <c r="A1053">
        <v>3192</v>
      </c>
      <c r="B1053" t="s">
        <v>3167</v>
      </c>
      <c r="D1053" t="s">
        <v>60</v>
      </c>
      <c r="E1053" t="s">
        <v>3168</v>
      </c>
      <c r="F1053" t="s">
        <v>74</v>
      </c>
      <c r="G1053">
        <v>78</v>
      </c>
      <c r="H1053" t="s">
        <v>63</v>
      </c>
      <c r="I1053">
        <v>5</v>
      </c>
      <c r="J1053" t="str">
        <f>HYPERLINK("Gene3192-zp_tree_all.dnd", "Gene3192-tree")</f>
        <v>Gene3192-tree</v>
      </c>
      <c r="L1053" t="s">
        <v>139</v>
      </c>
    </row>
    <row r="1054" spans="1:12">
      <c r="A1054">
        <v>3226</v>
      </c>
      <c r="B1054" t="s">
        <v>3216</v>
      </c>
      <c r="D1054" t="s">
        <v>66</v>
      </c>
      <c r="E1054" t="s">
        <v>3217</v>
      </c>
      <c r="F1054" t="s">
        <v>3218</v>
      </c>
      <c r="G1054">
        <v>46</v>
      </c>
      <c r="H1054" t="s">
        <v>63</v>
      </c>
      <c r="I1054">
        <v>5</v>
      </c>
      <c r="J1054" t="str">
        <f>HYPERLINK("Gene3226-zp_tree_all.dnd", "Gene3226-tree")</f>
        <v>Gene3226-tree</v>
      </c>
      <c r="L1054" t="s">
        <v>71</v>
      </c>
    </row>
    <row r="1055" spans="1:12">
      <c r="A1055">
        <v>3244</v>
      </c>
      <c r="B1055" t="s">
        <v>3236</v>
      </c>
      <c r="D1055" t="s">
        <v>66</v>
      </c>
      <c r="E1055" t="s">
        <v>3237</v>
      </c>
      <c r="F1055" t="s">
        <v>74</v>
      </c>
      <c r="G1055">
        <v>97</v>
      </c>
      <c r="H1055" t="s">
        <v>63</v>
      </c>
      <c r="I1055">
        <v>5</v>
      </c>
      <c r="J1055" t="str">
        <f>HYPERLINK("Gene3244-zp_tree_all.dnd", "Gene3244-tree")</f>
        <v>Gene3244-tree</v>
      </c>
      <c r="L1055" t="s">
        <v>71</v>
      </c>
    </row>
    <row r="1056" spans="1:12">
      <c r="A1056">
        <v>3269</v>
      </c>
      <c r="B1056" t="s">
        <v>3261</v>
      </c>
      <c r="D1056" t="s">
        <v>66</v>
      </c>
      <c r="E1056" t="s">
        <v>3262</v>
      </c>
      <c r="F1056" t="s">
        <v>74</v>
      </c>
      <c r="G1056">
        <v>120</v>
      </c>
      <c r="H1056" t="s">
        <v>106</v>
      </c>
      <c r="I1056">
        <v>4</v>
      </c>
      <c r="J1056" t="str">
        <f>HYPERLINK("Gene3269-zp_tree_all.dnd", "Gene3269-tree")</f>
        <v>Gene3269-tree</v>
      </c>
      <c r="L1056" t="s">
        <v>71</v>
      </c>
    </row>
    <row r="1057" spans="1:12">
      <c r="A1057">
        <v>3275</v>
      </c>
      <c r="B1057" t="s">
        <v>3279</v>
      </c>
      <c r="D1057" t="s">
        <v>60</v>
      </c>
      <c r="E1057" t="s">
        <v>3280</v>
      </c>
      <c r="F1057" t="s">
        <v>3281</v>
      </c>
      <c r="G1057">
        <v>111</v>
      </c>
      <c r="H1057" t="s">
        <v>63</v>
      </c>
      <c r="I1057">
        <v>5</v>
      </c>
      <c r="J1057" t="str">
        <f>HYPERLINK("Gene3275-zp_tree_all.dnd", "Gene3275-tree")</f>
        <v>Gene3275-tree</v>
      </c>
      <c r="L1057" t="s">
        <v>139</v>
      </c>
    </row>
    <row r="1058" spans="1:12">
      <c r="A1058">
        <v>3279</v>
      </c>
      <c r="B1058" t="s">
        <v>3282</v>
      </c>
      <c r="D1058" t="s">
        <v>66</v>
      </c>
      <c r="E1058" t="s">
        <v>3283</v>
      </c>
      <c r="F1058" t="s">
        <v>3284</v>
      </c>
      <c r="G1058">
        <v>433</v>
      </c>
      <c r="H1058" t="s">
        <v>106</v>
      </c>
      <c r="I1058">
        <v>4</v>
      </c>
      <c r="J1058" t="str">
        <f>HYPERLINK("Gene3279-zp_tree_all.dnd", "Gene3279-tree")</f>
        <v>Gene3279-tree</v>
      </c>
      <c r="L1058" t="s">
        <v>71</v>
      </c>
    </row>
    <row r="1059" spans="1:12">
      <c r="A1059">
        <v>3327</v>
      </c>
      <c r="B1059" t="s">
        <v>3333</v>
      </c>
      <c r="D1059" t="s">
        <v>66</v>
      </c>
      <c r="E1059" t="s">
        <v>3334</v>
      </c>
      <c r="F1059" t="s">
        <v>74</v>
      </c>
      <c r="G1059">
        <v>45</v>
      </c>
      <c r="H1059" t="s">
        <v>106</v>
      </c>
      <c r="I1059">
        <v>4</v>
      </c>
      <c r="J1059" t="str">
        <f>HYPERLINK("Gene3327-zp_tree_all.dnd", "Gene3327-tree")</f>
        <v>Gene3327-tree</v>
      </c>
      <c r="L1059" t="s">
        <v>71</v>
      </c>
    </row>
    <row r="1060" spans="1:12">
      <c r="A1060">
        <v>3333</v>
      </c>
      <c r="B1060" t="s">
        <v>3348</v>
      </c>
      <c r="D1060" t="s">
        <v>66</v>
      </c>
      <c r="E1060" t="s">
        <v>3349</v>
      </c>
      <c r="F1060" t="s">
        <v>716</v>
      </c>
      <c r="G1060">
        <v>106</v>
      </c>
      <c r="H1060" t="s">
        <v>106</v>
      </c>
      <c r="I1060">
        <v>4</v>
      </c>
      <c r="J1060" t="str">
        <f>HYPERLINK("Gene3333-zp_tree_all.dnd", "Gene3333-tree")</f>
        <v>Gene3333-tree</v>
      </c>
      <c r="L1060" t="s">
        <v>71</v>
      </c>
    </row>
    <row r="1061" spans="1:12">
      <c r="A1061">
        <v>3335</v>
      </c>
      <c r="B1061" t="s">
        <v>3350</v>
      </c>
      <c r="D1061" t="s">
        <v>66</v>
      </c>
      <c r="E1061" t="s">
        <v>3351</v>
      </c>
      <c r="F1061" t="s">
        <v>74</v>
      </c>
      <c r="G1061">
        <v>78</v>
      </c>
      <c r="H1061" t="s">
        <v>63</v>
      </c>
      <c r="I1061">
        <v>5</v>
      </c>
      <c r="J1061" t="str">
        <f>HYPERLINK("Gene3335-zp_tree_all.dnd", "Gene3335-tree")</f>
        <v>Gene3335-tree</v>
      </c>
      <c r="L1061" t="s">
        <v>71</v>
      </c>
    </row>
    <row r="1062" spans="1:12">
      <c r="A1062">
        <v>3359</v>
      </c>
      <c r="B1062" t="s">
        <v>3385</v>
      </c>
      <c r="D1062" t="s">
        <v>66</v>
      </c>
      <c r="E1062" t="s">
        <v>3386</v>
      </c>
      <c r="F1062" t="s">
        <v>74</v>
      </c>
      <c r="G1062">
        <v>54</v>
      </c>
      <c r="H1062" t="s">
        <v>63</v>
      </c>
      <c r="I1062">
        <v>5</v>
      </c>
      <c r="J1062" t="str">
        <f>HYPERLINK("Gene3359-zp_tree_all.dnd", "Gene3359-tree")</f>
        <v>Gene3359-tree</v>
      </c>
      <c r="L1062" t="s">
        <v>71</v>
      </c>
    </row>
    <row r="1063" spans="1:12">
      <c r="A1063">
        <v>3371</v>
      </c>
      <c r="B1063" t="s">
        <v>3400</v>
      </c>
      <c r="D1063" t="s">
        <v>66</v>
      </c>
      <c r="E1063" t="s">
        <v>3401</v>
      </c>
      <c r="F1063" t="s">
        <v>3402</v>
      </c>
      <c r="G1063">
        <v>126</v>
      </c>
      <c r="H1063" t="s">
        <v>85</v>
      </c>
      <c r="I1063">
        <v>4</v>
      </c>
      <c r="J1063" t="str">
        <f>HYPERLINK("Gene3371-zp_tree_all.dnd", "Gene3371-tree")</f>
        <v>Gene3371-tree</v>
      </c>
      <c r="L1063" t="s">
        <v>71</v>
      </c>
    </row>
    <row r="1064" spans="1:12">
      <c r="A1064">
        <v>3394</v>
      </c>
      <c r="B1064" t="s">
        <v>3403</v>
      </c>
      <c r="D1064" t="s">
        <v>66</v>
      </c>
      <c r="E1064" t="s">
        <v>3404</v>
      </c>
      <c r="F1064" t="s">
        <v>3405</v>
      </c>
      <c r="G1064">
        <v>46</v>
      </c>
      <c r="H1064" t="s">
        <v>63</v>
      </c>
      <c r="I1064">
        <v>5</v>
      </c>
      <c r="J1064" t="str">
        <f>HYPERLINK("Gene3394-zp_tree_all.dnd", "Gene3394-tree")</f>
        <v>Gene3394-tree</v>
      </c>
      <c r="L1064" t="s">
        <v>71</v>
      </c>
    </row>
    <row r="1065" spans="1:12">
      <c r="A1065">
        <v>3485</v>
      </c>
      <c r="B1065" t="s">
        <v>3488</v>
      </c>
      <c r="D1065" t="s">
        <v>66</v>
      </c>
      <c r="E1065" t="s">
        <v>3489</v>
      </c>
      <c r="F1065" t="s">
        <v>3490</v>
      </c>
      <c r="G1065">
        <v>202</v>
      </c>
      <c r="H1065" t="s">
        <v>85</v>
      </c>
      <c r="I1065">
        <v>4</v>
      </c>
      <c r="J1065" t="str">
        <f>HYPERLINK("Gene3485-zp_tree_all.dnd", "Gene3485-tree")</f>
        <v>Gene3485-tree</v>
      </c>
      <c r="L1065" t="s">
        <v>71</v>
      </c>
    </row>
    <row r="1066" spans="1:12">
      <c r="A1066">
        <v>3500</v>
      </c>
      <c r="B1066" t="s">
        <v>3504</v>
      </c>
      <c r="D1066" t="s">
        <v>66</v>
      </c>
      <c r="E1066" t="s">
        <v>3505</v>
      </c>
      <c r="F1066" t="s">
        <v>74</v>
      </c>
      <c r="G1066">
        <v>95</v>
      </c>
      <c r="H1066" t="s">
        <v>85</v>
      </c>
      <c r="I1066">
        <v>4</v>
      </c>
      <c r="J1066" t="str">
        <f>HYPERLINK("Gene3500-zp_tree_all.dnd", "Gene3500-tree")</f>
        <v>Gene3500-tree</v>
      </c>
      <c r="L1066" t="s">
        <v>71</v>
      </c>
    </row>
    <row r="1067" spans="1:12">
      <c r="A1067">
        <v>3501</v>
      </c>
      <c r="B1067" t="s">
        <v>3506</v>
      </c>
      <c r="D1067" t="s">
        <v>66</v>
      </c>
      <c r="E1067" t="s">
        <v>3507</v>
      </c>
      <c r="F1067" t="s">
        <v>74</v>
      </c>
      <c r="G1067">
        <v>30</v>
      </c>
      <c r="H1067" t="s">
        <v>85</v>
      </c>
      <c r="I1067">
        <v>4</v>
      </c>
      <c r="J1067" t="str">
        <f>HYPERLINK("Gene3501-zp_tree_all.dnd", "Gene3501-tree")</f>
        <v>Gene3501-tree</v>
      </c>
      <c r="L1067" t="s">
        <v>71</v>
      </c>
    </row>
    <row r="1068" spans="1:12">
      <c r="A1068">
        <v>3534</v>
      </c>
      <c r="B1068" t="s">
        <v>3520</v>
      </c>
      <c r="D1068" t="s">
        <v>66</v>
      </c>
      <c r="E1068" t="s">
        <v>3521</v>
      </c>
      <c r="F1068" t="s">
        <v>3522</v>
      </c>
      <c r="G1068">
        <v>85</v>
      </c>
      <c r="H1068" t="s">
        <v>63</v>
      </c>
      <c r="I1068">
        <v>5</v>
      </c>
      <c r="J1068" t="str">
        <f>HYPERLINK("Gene3534-zp_tree_all.dnd", "Gene3534-tree")</f>
        <v>Gene3534-tree</v>
      </c>
      <c r="L1068" t="s">
        <v>71</v>
      </c>
    </row>
    <row r="1069" spans="1:12">
      <c r="A1069">
        <v>3678</v>
      </c>
      <c r="B1069" t="s">
        <v>3616</v>
      </c>
      <c r="D1069" t="s">
        <v>66</v>
      </c>
      <c r="E1069" t="s">
        <v>3617</v>
      </c>
      <c r="F1069" t="s">
        <v>74</v>
      </c>
      <c r="G1069">
        <v>86</v>
      </c>
      <c r="H1069" t="s">
        <v>85</v>
      </c>
      <c r="I1069">
        <v>4</v>
      </c>
      <c r="J1069" t="str">
        <f>HYPERLINK("Gene3678-zp_tree_all.dnd", "Gene3678-tree")</f>
        <v>Gene3678-tree</v>
      </c>
      <c r="L1069" t="s">
        <v>71</v>
      </c>
    </row>
    <row r="1070" spans="1:12">
      <c r="A1070">
        <v>3685</v>
      </c>
      <c r="B1070" t="s">
        <v>3622</v>
      </c>
      <c r="D1070" t="s">
        <v>66</v>
      </c>
      <c r="E1070" t="s">
        <v>3623</v>
      </c>
      <c r="F1070" t="s">
        <v>74</v>
      </c>
      <c r="G1070">
        <v>47</v>
      </c>
      <c r="H1070" t="s">
        <v>63</v>
      </c>
      <c r="I1070">
        <v>5</v>
      </c>
      <c r="J1070" t="str">
        <f>HYPERLINK("Gene3685-zp_tree_all.dnd", "Gene3685-tree")</f>
        <v>Gene3685-tree</v>
      </c>
      <c r="L1070" t="s">
        <v>71</v>
      </c>
    </row>
    <row r="1071" spans="1:12">
      <c r="A1071">
        <v>3696</v>
      </c>
      <c r="B1071" t="s">
        <v>3633</v>
      </c>
      <c r="D1071" t="s">
        <v>66</v>
      </c>
      <c r="E1071" t="s">
        <v>3634</v>
      </c>
      <c r="F1071" t="s">
        <v>3635</v>
      </c>
      <c r="G1071">
        <v>141</v>
      </c>
      <c r="H1071" t="s">
        <v>85</v>
      </c>
      <c r="I1071">
        <v>4</v>
      </c>
      <c r="J1071" t="str">
        <f>HYPERLINK("Gene3696-zp_tree_all.dnd", "Gene3696-tree")</f>
        <v>Gene3696-tree</v>
      </c>
      <c r="L1071" t="s">
        <v>71</v>
      </c>
    </row>
    <row r="1072" spans="1:12">
      <c r="A1072">
        <v>3701</v>
      </c>
      <c r="B1072" t="s">
        <v>3644</v>
      </c>
      <c r="D1072" t="s">
        <v>66</v>
      </c>
      <c r="E1072" t="s">
        <v>3645</v>
      </c>
      <c r="F1072" t="s">
        <v>3646</v>
      </c>
      <c r="G1072">
        <v>93</v>
      </c>
      <c r="H1072" t="s">
        <v>63</v>
      </c>
      <c r="I1072">
        <v>5</v>
      </c>
      <c r="J1072" t="str">
        <f>HYPERLINK("Gene3701-zp_tree_all.dnd", "Gene3701-tree")</f>
        <v>Gene3701-tree</v>
      </c>
      <c r="L1072" t="s">
        <v>71</v>
      </c>
    </row>
    <row r="1073" spans="1:12">
      <c r="A1073">
        <v>3702</v>
      </c>
      <c r="B1073" t="s">
        <v>3647</v>
      </c>
      <c r="D1073" t="s">
        <v>66</v>
      </c>
      <c r="E1073" t="s">
        <v>3648</v>
      </c>
      <c r="F1073" t="s">
        <v>3649</v>
      </c>
      <c r="G1073">
        <v>36</v>
      </c>
      <c r="H1073" t="s">
        <v>63</v>
      </c>
      <c r="I1073">
        <v>5</v>
      </c>
      <c r="J1073" t="str">
        <f>HYPERLINK("Gene3702-zp_tree_all.dnd", "Gene3702-tree")</f>
        <v>Gene3702-tree</v>
      </c>
      <c r="L1073" t="s">
        <v>71</v>
      </c>
    </row>
    <row r="1074" spans="1:12">
      <c r="A1074">
        <v>3745</v>
      </c>
      <c r="B1074" t="s">
        <v>3709</v>
      </c>
      <c r="D1074" t="s">
        <v>66</v>
      </c>
      <c r="E1074" t="s">
        <v>3710</v>
      </c>
      <c r="F1074" t="s">
        <v>3711</v>
      </c>
      <c r="G1074">
        <v>70</v>
      </c>
      <c r="H1074" t="s">
        <v>63</v>
      </c>
      <c r="I1074">
        <v>5</v>
      </c>
      <c r="J1074" t="str">
        <f>HYPERLINK("Gene3745-zp_tree_all.dnd", "Gene3745-tree")</f>
        <v>Gene3745-tree</v>
      </c>
      <c r="L1074" t="s">
        <v>71</v>
      </c>
    </row>
    <row r="1075" spans="1:12">
      <c r="A1075">
        <v>3766</v>
      </c>
      <c r="B1075" t="s">
        <v>3739</v>
      </c>
      <c r="D1075" t="s">
        <v>66</v>
      </c>
      <c r="E1075" t="s">
        <v>3740</v>
      </c>
      <c r="F1075" t="s">
        <v>3741</v>
      </c>
      <c r="G1075">
        <v>66</v>
      </c>
      <c r="H1075" t="s">
        <v>63</v>
      </c>
      <c r="I1075">
        <v>5</v>
      </c>
      <c r="J1075" t="str">
        <f>HYPERLINK("Gene3766-zp_tree_all.dnd", "Gene3766-tree")</f>
        <v>Gene3766-tree</v>
      </c>
      <c r="L1075" t="s">
        <v>71</v>
      </c>
    </row>
    <row r="1076" spans="1:12">
      <c r="A1076">
        <v>3793</v>
      </c>
      <c r="B1076" t="s">
        <v>3773</v>
      </c>
      <c r="D1076" t="s">
        <v>66</v>
      </c>
      <c r="E1076" t="s">
        <v>3774</v>
      </c>
      <c r="F1076" t="s">
        <v>3775</v>
      </c>
      <c r="G1076">
        <v>142</v>
      </c>
      <c r="H1076" t="s">
        <v>63</v>
      </c>
      <c r="I1076">
        <v>5</v>
      </c>
      <c r="J1076" t="str">
        <f>HYPERLINK("Gene3793-zp_tree_all.dnd", "Gene3793-tree")</f>
        <v>Gene3793-tree</v>
      </c>
      <c r="L1076" t="s">
        <v>71</v>
      </c>
    </row>
    <row r="1077" spans="1:12">
      <c r="A1077">
        <v>3794</v>
      </c>
      <c r="B1077" t="s">
        <v>3776</v>
      </c>
      <c r="D1077" t="s">
        <v>60</v>
      </c>
      <c r="E1077" t="s">
        <v>3777</v>
      </c>
      <c r="F1077" t="s">
        <v>3778</v>
      </c>
      <c r="G1077">
        <v>43</v>
      </c>
      <c r="H1077" t="s">
        <v>63</v>
      </c>
      <c r="I1077">
        <v>5</v>
      </c>
      <c r="J1077" t="str">
        <f>HYPERLINK("Gene3794-zp_tree_all.dnd", "Gene3794-tree")</f>
        <v>Gene3794-tree</v>
      </c>
      <c r="L1077" t="s">
        <v>139</v>
      </c>
    </row>
    <row r="1078" spans="1:12">
      <c r="A1078">
        <v>3797</v>
      </c>
      <c r="B1078" t="s">
        <v>3779</v>
      </c>
      <c r="D1078" t="s">
        <v>60</v>
      </c>
      <c r="E1078" t="s">
        <v>3780</v>
      </c>
      <c r="F1078" t="s">
        <v>3781</v>
      </c>
      <c r="G1078">
        <v>53</v>
      </c>
      <c r="H1078" t="s">
        <v>63</v>
      </c>
      <c r="I1078">
        <v>5</v>
      </c>
      <c r="J1078" t="str">
        <f>HYPERLINK("Gene3797-zp_tree_all.dnd", "Gene3797-tree")</f>
        <v>Gene3797-tree</v>
      </c>
      <c r="L1078" t="s">
        <v>139</v>
      </c>
    </row>
    <row r="1079" spans="1:12">
      <c r="A1079">
        <v>3806</v>
      </c>
      <c r="B1079" t="s">
        <v>3787</v>
      </c>
      <c r="D1079" t="s">
        <v>60</v>
      </c>
      <c r="E1079" t="s">
        <v>3788</v>
      </c>
      <c r="F1079" t="s">
        <v>3789</v>
      </c>
      <c r="G1079">
        <v>39</v>
      </c>
      <c r="H1079" t="s">
        <v>85</v>
      </c>
      <c r="I1079">
        <v>4</v>
      </c>
      <c r="J1079" t="str">
        <f>HYPERLINK("Gene3806-zp_tree_all.dnd", "Gene3806-tree")</f>
        <v>Gene3806-tree</v>
      </c>
      <c r="L1079" t="s">
        <v>139</v>
      </c>
    </row>
    <row r="1080" spans="1:12">
      <c r="A1080">
        <v>3813</v>
      </c>
      <c r="B1080" t="s">
        <v>3794</v>
      </c>
      <c r="D1080" t="s">
        <v>60</v>
      </c>
      <c r="E1080" t="s">
        <v>3795</v>
      </c>
      <c r="F1080" t="s">
        <v>3796</v>
      </c>
      <c r="G1080">
        <v>62</v>
      </c>
      <c r="H1080" t="s">
        <v>63</v>
      </c>
      <c r="I1080">
        <v>5</v>
      </c>
      <c r="J1080" t="str">
        <f>HYPERLINK("Gene3813-zp_tree_all.dnd", "Gene3813-tree")</f>
        <v>Gene3813-tree</v>
      </c>
      <c r="L1080" t="s">
        <v>139</v>
      </c>
    </row>
    <row r="1081" spans="1:12">
      <c r="A1081">
        <v>3910</v>
      </c>
      <c r="B1081" t="s">
        <v>3878</v>
      </c>
      <c r="D1081" t="s">
        <v>60</v>
      </c>
      <c r="E1081" t="s">
        <v>3879</v>
      </c>
      <c r="F1081" t="s">
        <v>74</v>
      </c>
      <c r="G1081">
        <v>49</v>
      </c>
      <c r="H1081" t="s">
        <v>63</v>
      </c>
      <c r="I1081">
        <v>5</v>
      </c>
      <c r="J1081" t="str">
        <f>HYPERLINK("Gene3910-zp_tree_all.dnd", "Gene3910-tree")</f>
        <v>Gene3910-tree</v>
      </c>
      <c r="L1081" t="s">
        <v>139</v>
      </c>
    </row>
    <row r="1082" spans="1:12">
      <c r="A1082">
        <v>3913</v>
      </c>
      <c r="B1082" t="s">
        <v>3885</v>
      </c>
      <c r="D1082" t="s">
        <v>60</v>
      </c>
      <c r="E1082" t="s">
        <v>3886</v>
      </c>
      <c r="F1082" t="s">
        <v>3887</v>
      </c>
      <c r="G1082">
        <v>78</v>
      </c>
      <c r="H1082" t="s">
        <v>63</v>
      </c>
      <c r="I1082">
        <v>5</v>
      </c>
      <c r="J1082" t="str">
        <f>HYPERLINK("Gene3913-zp_tree_all.dnd", "Gene3913-tree")</f>
        <v>Gene3913-tree</v>
      </c>
      <c r="L1082" t="s">
        <v>139</v>
      </c>
    </row>
    <row r="1083" spans="1:12">
      <c r="A1083">
        <v>3922</v>
      </c>
      <c r="B1083" t="s">
        <v>3904</v>
      </c>
      <c r="D1083" t="s">
        <v>66</v>
      </c>
      <c r="E1083" t="s">
        <v>3905</v>
      </c>
      <c r="F1083" t="s">
        <v>74</v>
      </c>
      <c r="G1083">
        <v>52</v>
      </c>
      <c r="H1083" t="s">
        <v>63</v>
      </c>
      <c r="I1083">
        <v>5</v>
      </c>
      <c r="J1083" t="str">
        <f>HYPERLINK("Gene3922-zp_tree_all.dnd", "Gene3922-tree")</f>
        <v>Gene3922-tree</v>
      </c>
      <c r="L1083" t="s">
        <v>71</v>
      </c>
    </row>
    <row r="1084" spans="1:12">
      <c r="A1084">
        <v>3991</v>
      </c>
      <c r="B1084" t="s">
        <v>3946</v>
      </c>
      <c r="D1084" t="s">
        <v>66</v>
      </c>
      <c r="E1084" t="s">
        <v>3947</v>
      </c>
      <c r="F1084" t="s">
        <v>74</v>
      </c>
      <c r="G1084">
        <v>89</v>
      </c>
      <c r="H1084" t="s">
        <v>106</v>
      </c>
      <c r="I1084">
        <v>4</v>
      </c>
      <c r="J1084" t="str">
        <f>HYPERLINK("Gene3991-zp_tree_all.dnd", "Gene3991-tree")</f>
        <v>Gene3991-tree</v>
      </c>
      <c r="L1084" t="s">
        <v>71</v>
      </c>
    </row>
    <row r="1085" spans="1:12">
      <c r="A1085">
        <v>4019</v>
      </c>
      <c r="B1085" t="s">
        <v>3974</v>
      </c>
      <c r="D1085" t="s">
        <v>60</v>
      </c>
      <c r="E1085" t="s">
        <v>3975</v>
      </c>
      <c r="F1085" t="s">
        <v>74</v>
      </c>
      <c r="G1085">
        <v>121</v>
      </c>
      <c r="H1085" t="s">
        <v>106</v>
      </c>
      <c r="I1085">
        <v>4</v>
      </c>
      <c r="J1085" t="str">
        <f>HYPERLINK("Gene4019-zp_tree_all.dnd", "Gene4019-tree")</f>
        <v>Gene4019-tree</v>
      </c>
      <c r="L1085" t="s">
        <v>139</v>
      </c>
    </row>
    <row r="1086" spans="1:12">
      <c r="A1086">
        <v>4102</v>
      </c>
      <c r="B1086" t="s">
        <v>4068</v>
      </c>
      <c r="D1086" t="s">
        <v>66</v>
      </c>
      <c r="E1086" t="s">
        <v>4069</v>
      </c>
      <c r="F1086" t="s">
        <v>4070</v>
      </c>
      <c r="G1086">
        <v>264</v>
      </c>
      <c r="H1086" t="s">
        <v>85</v>
      </c>
      <c r="I1086">
        <v>4</v>
      </c>
      <c r="J1086" t="str">
        <f>HYPERLINK("Gene4102-zp_tree_all.dnd", "Gene4102-tree")</f>
        <v>Gene4102-tree</v>
      </c>
      <c r="L1086" t="s">
        <v>71</v>
      </c>
    </row>
    <row r="1087" spans="1:12">
      <c r="A1087">
        <v>4112</v>
      </c>
      <c r="B1087" t="s">
        <v>4086</v>
      </c>
      <c r="D1087" t="s">
        <v>60</v>
      </c>
      <c r="E1087" t="s">
        <v>4087</v>
      </c>
      <c r="F1087" t="s">
        <v>74</v>
      </c>
      <c r="G1087">
        <v>46</v>
      </c>
      <c r="H1087" t="s">
        <v>85</v>
      </c>
      <c r="I1087">
        <v>4</v>
      </c>
      <c r="J1087" t="str">
        <f>HYPERLINK("Gene4112-zp_tree_all.dnd", "Gene4112-tree")</f>
        <v>Gene4112-tree</v>
      </c>
      <c r="L1087" t="s">
        <v>139</v>
      </c>
    </row>
    <row r="1088" spans="1:12">
      <c r="A1088">
        <v>4118</v>
      </c>
      <c r="B1088" t="s">
        <v>4100</v>
      </c>
      <c r="D1088" t="s">
        <v>66</v>
      </c>
      <c r="E1088" t="s">
        <v>4101</v>
      </c>
      <c r="F1088" t="s">
        <v>74</v>
      </c>
      <c r="G1088">
        <v>49</v>
      </c>
      <c r="H1088" t="s">
        <v>63</v>
      </c>
      <c r="I1088">
        <v>5</v>
      </c>
      <c r="J1088" t="str">
        <f>HYPERLINK("Gene4118-zp_tree_all.dnd", "Gene4118-tree")</f>
        <v>Gene4118-tree</v>
      </c>
      <c r="L1088" t="s">
        <v>71</v>
      </c>
    </row>
    <row r="1089" spans="1:12">
      <c r="A1089">
        <v>4156</v>
      </c>
      <c r="B1089" t="s">
        <v>4113</v>
      </c>
      <c r="D1089" t="s">
        <v>66</v>
      </c>
      <c r="E1089" t="s">
        <v>4114</v>
      </c>
      <c r="F1089" t="s">
        <v>4115</v>
      </c>
      <c r="G1089">
        <v>95</v>
      </c>
      <c r="H1089" t="s">
        <v>63</v>
      </c>
      <c r="I1089">
        <v>5</v>
      </c>
      <c r="J1089" t="str">
        <f>HYPERLINK("Gene4156-zp_tree_all.dnd", "Gene4156-tree")</f>
        <v>Gene4156-tree</v>
      </c>
      <c r="L1089" t="s">
        <v>71</v>
      </c>
    </row>
    <row r="1090" spans="1:12">
      <c r="A1090">
        <v>4159</v>
      </c>
      <c r="B1090" t="s">
        <v>4116</v>
      </c>
      <c r="D1090" t="s">
        <v>66</v>
      </c>
      <c r="E1090" t="s">
        <v>4117</v>
      </c>
      <c r="F1090" t="s">
        <v>74</v>
      </c>
      <c r="G1090">
        <v>68</v>
      </c>
      <c r="H1090" t="s">
        <v>63</v>
      </c>
      <c r="I1090">
        <v>5</v>
      </c>
      <c r="J1090" t="str">
        <f>HYPERLINK("Gene4159-zp_tree_all.dnd", "Gene4159-tree")</f>
        <v>Gene4159-tree</v>
      </c>
      <c r="L1090" t="s">
        <v>71</v>
      </c>
    </row>
    <row r="1091" spans="1:12">
      <c r="A1091">
        <v>4163</v>
      </c>
      <c r="B1091" t="s">
        <v>4122</v>
      </c>
      <c r="D1091" t="s">
        <v>66</v>
      </c>
      <c r="E1091" t="s">
        <v>4123</v>
      </c>
      <c r="F1091" t="s">
        <v>4124</v>
      </c>
      <c r="G1091">
        <v>253</v>
      </c>
      <c r="H1091" t="s">
        <v>85</v>
      </c>
      <c r="I1091">
        <v>4</v>
      </c>
      <c r="J1091" t="str">
        <f>HYPERLINK("Gene4163-zp_tree_all.dnd", "Gene4163-tree")</f>
        <v>Gene4163-tree</v>
      </c>
      <c r="L1091" t="s">
        <v>71</v>
      </c>
    </row>
    <row r="1092" spans="1:12">
      <c r="A1092">
        <v>4172</v>
      </c>
      <c r="B1092" t="s">
        <v>4153</v>
      </c>
      <c r="D1092" t="s">
        <v>66</v>
      </c>
      <c r="E1092" t="s">
        <v>4154</v>
      </c>
      <c r="F1092" t="s">
        <v>4155</v>
      </c>
      <c r="G1092">
        <v>44</v>
      </c>
      <c r="H1092" t="s">
        <v>63</v>
      </c>
      <c r="I1092">
        <v>5</v>
      </c>
      <c r="J1092" t="str">
        <f>HYPERLINK("Gene4172-zp_tree_all.dnd", "Gene4172-tree")</f>
        <v>Gene4172-tree</v>
      </c>
      <c r="L1092" t="s">
        <v>71</v>
      </c>
    </row>
  </sheetData>
  <sortState xmlns:xlrd2="http://schemas.microsoft.com/office/spreadsheetml/2017/richdata2" ref="A4:BE1093">
    <sortCondition descending="1" ref="BE4:BE10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3113"/>
  <sheetViews>
    <sheetView topLeftCell="Q1" zoomScale="120" zoomScaleNormal="120" workbookViewId="0">
      <selection activeCell="V2" sqref="V2"/>
    </sheetView>
  </sheetViews>
  <sheetFormatPr baseColWidth="10" defaultColWidth="8.83203125" defaultRowHeight="15"/>
  <cols>
    <col min="1" max="1" width="5.83203125" bestFit="1" customWidth="1"/>
    <col min="2" max="2" width="11" customWidth="1"/>
    <col min="3" max="3" width="3.83203125" customWidth="1"/>
    <col min="4" max="4" width="6.1640625" bestFit="1" customWidth="1"/>
    <col min="5" max="6" width="8.1640625" bestFit="1" customWidth="1"/>
    <col min="7" max="7" width="51" customWidth="1"/>
    <col min="8" max="8" width="15.6640625" bestFit="1" customWidth="1"/>
    <col min="9" max="9" width="30.5" bestFit="1" customWidth="1"/>
    <col min="10" max="10" width="7.5" bestFit="1" customWidth="1"/>
    <col min="11" max="11" width="13.5" customWidth="1"/>
    <col min="12" max="12" width="10.1640625" bestFit="1" customWidth="1"/>
    <col min="13" max="13" width="10.33203125" bestFit="1" customWidth="1"/>
    <col min="14" max="14" width="9.5" bestFit="1" customWidth="1"/>
    <col min="15" max="15" width="9.6640625" bestFit="1" customWidth="1"/>
    <col min="16" max="16" width="10.1640625" bestFit="1" customWidth="1"/>
    <col min="17" max="18" width="15.5" bestFit="1" customWidth="1"/>
    <col min="19" max="19" width="10.83203125" bestFit="1" customWidth="1"/>
    <col min="20" max="20" width="21.83203125" bestFit="1" customWidth="1"/>
    <col min="21" max="21" width="28" bestFit="1" customWidth="1"/>
    <col min="22" max="22" width="11.5" customWidth="1"/>
    <col min="23" max="23" width="10.83203125" bestFit="1" customWidth="1"/>
    <col min="24" max="24" width="8.1640625" bestFit="1" customWidth="1"/>
    <col min="25" max="25" width="8.33203125" bestFit="1" customWidth="1"/>
    <col min="26" max="26" width="9.33203125" bestFit="1" customWidth="1"/>
    <col min="27" max="27" width="7" bestFit="1" customWidth="1"/>
    <col min="28" max="28" width="10.1640625" bestFit="1" customWidth="1"/>
    <col min="29" max="29" width="9.1640625" bestFit="1" customWidth="1"/>
    <col min="30" max="30" width="8.5" bestFit="1" customWidth="1"/>
    <col min="31" max="31" width="9.5" bestFit="1" customWidth="1"/>
    <col min="32" max="32" width="7.1640625" bestFit="1" customWidth="1"/>
    <col min="33" max="33" width="10.33203125" bestFit="1" customWidth="1"/>
    <col min="34" max="34" width="9.33203125" bestFit="1" customWidth="1"/>
    <col min="35" max="35" width="6.33203125" customWidth="1"/>
    <col min="36" max="36" width="6.1640625" bestFit="1" customWidth="1"/>
    <col min="37" max="37" width="7.33203125" bestFit="1" customWidth="1"/>
    <col min="38" max="38" width="10.33203125" bestFit="1" customWidth="1"/>
    <col min="39" max="39" width="8.5" bestFit="1" customWidth="1"/>
    <col min="40" max="40" width="11.5" bestFit="1" customWidth="1"/>
    <col min="41" max="42" width="15.5" bestFit="1" customWidth="1"/>
    <col min="43" max="43" width="12.83203125" bestFit="1" customWidth="1"/>
    <col min="44" max="44" width="22" bestFit="1" customWidth="1"/>
    <col min="45" max="45" width="9" customWidth="1"/>
    <col min="46" max="46" width="7.6640625" bestFit="1" customWidth="1"/>
    <col min="47" max="47" width="8.1640625" bestFit="1" customWidth="1"/>
    <col min="48" max="48" width="8.6640625" bestFit="1" customWidth="1"/>
    <col min="49" max="49" width="8.1640625" bestFit="1" customWidth="1"/>
    <col min="50" max="50" width="8.6640625" bestFit="1" customWidth="1"/>
    <col min="51" max="51" width="8.1640625" bestFit="1" customWidth="1"/>
    <col min="52" max="52" width="8.6640625" bestFit="1" customWidth="1"/>
    <col min="53" max="53" width="8.1640625" bestFit="1" customWidth="1"/>
    <col min="54" max="54" width="10" bestFit="1" customWidth="1"/>
    <col min="55" max="55" width="18" bestFit="1" customWidth="1"/>
    <col min="56" max="56" width="7.6640625" bestFit="1" customWidth="1"/>
    <col min="57" max="57" width="8.6640625" bestFit="1" customWidth="1"/>
    <col min="58" max="58" width="11.33203125" bestFit="1" customWidth="1"/>
    <col min="59" max="59" width="21.5" customWidth="1"/>
    <col min="66" max="66" width="12.33203125" customWidth="1"/>
    <col min="67" max="67" width="24.5" customWidth="1"/>
    <col min="68" max="68" width="17.6640625" customWidth="1"/>
    <col min="79" max="81" width="12.83203125" customWidth="1"/>
    <col min="85" max="85" width="11" customWidth="1"/>
    <col min="95" max="95" width="10.5" bestFit="1" customWidth="1"/>
    <col min="96" max="96" width="9.5" bestFit="1" customWidth="1"/>
  </cols>
  <sheetData>
    <row r="1" spans="1:102">
      <c r="B1" t="s">
        <v>0</v>
      </c>
      <c r="H1">
        <f>COUNTIF(H4:H736,"&gt;200")</f>
        <v>435</v>
      </c>
      <c r="K1" t="s">
        <v>1</v>
      </c>
      <c r="U1" t="s">
        <v>2</v>
      </c>
      <c r="AI1" t="s">
        <v>3</v>
      </c>
      <c r="AS1" t="s">
        <v>4</v>
      </c>
    </row>
    <row r="2" spans="1:102" ht="16" thickBot="1">
      <c r="A2" t="s">
        <v>5</v>
      </c>
      <c r="B2" t="s">
        <v>6</v>
      </c>
      <c r="C2" t="s">
        <v>7</v>
      </c>
      <c r="D2" t="s">
        <v>8</v>
      </c>
      <c r="E2" t="s">
        <v>4192</v>
      </c>
      <c r="F2" t="s">
        <v>4193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W2" t="s">
        <v>51</v>
      </c>
      <c r="AY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4207</v>
      </c>
      <c r="BI2" t="s">
        <v>4212</v>
      </c>
      <c r="BJ2" t="s">
        <v>53</v>
      </c>
      <c r="BK2" t="s">
        <v>4207</v>
      </c>
      <c r="BN2" t="s">
        <v>53</v>
      </c>
    </row>
    <row r="3" spans="1:102" ht="16" thickBot="1">
      <c r="E3" t="s">
        <v>4194</v>
      </c>
      <c r="F3" t="s">
        <v>4195</v>
      </c>
      <c r="BN3" t="s">
        <v>4208</v>
      </c>
      <c r="BO3" t="s">
        <v>4209</v>
      </c>
      <c r="BP3" t="s">
        <v>4210</v>
      </c>
      <c r="BX3" s="1"/>
      <c r="BY3" s="2" t="s">
        <v>4165</v>
      </c>
      <c r="BZ3" s="2" t="s">
        <v>4166</v>
      </c>
      <c r="CA3" s="3" t="s">
        <v>4167</v>
      </c>
      <c r="CB3" s="9"/>
      <c r="CC3" s="45"/>
      <c r="CD3" s="31" t="s">
        <v>4203</v>
      </c>
      <c r="CE3" s="45"/>
      <c r="CF3" s="46" t="s">
        <v>4169</v>
      </c>
      <c r="CG3" s="47"/>
      <c r="CH3" s="46" t="s">
        <v>4170</v>
      </c>
      <c r="CI3" s="47"/>
      <c r="CJ3" s="48"/>
      <c r="CK3" s="49" t="s">
        <v>53</v>
      </c>
      <c r="CL3" s="50"/>
      <c r="CM3" s="51"/>
      <c r="CN3" s="54" t="s">
        <v>4174</v>
      </c>
      <c r="CO3" s="55"/>
      <c r="CP3" s="55"/>
      <c r="CQ3" s="55"/>
      <c r="CR3" s="55"/>
      <c r="CS3" s="56"/>
    </row>
    <row r="4" spans="1:102">
      <c r="A4">
        <v>1</v>
      </c>
      <c r="B4" t="s">
        <v>59</v>
      </c>
      <c r="D4" t="s">
        <v>60</v>
      </c>
      <c r="E4">
        <v>410</v>
      </c>
      <c r="F4">
        <v>1747</v>
      </c>
      <c r="G4" t="s">
        <v>62</v>
      </c>
      <c r="H4">
        <v>446</v>
      </c>
      <c r="I4" t="s">
        <v>63</v>
      </c>
      <c r="J4">
        <v>5</v>
      </c>
      <c r="K4" t="str">
        <f>HYPERLINK("Gene1-zp_tree_all.dnd", "Gene1-tree")</f>
        <v>Gene1-tree</v>
      </c>
      <c r="L4">
        <v>4</v>
      </c>
      <c r="M4">
        <v>1</v>
      </c>
      <c r="N4">
        <v>4</v>
      </c>
      <c r="O4">
        <v>1</v>
      </c>
      <c r="P4">
        <v>0.2</v>
      </c>
      <c r="Q4" t="s">
        <v>64</v>
      </c>
      <c r="R4" t="s">
        <v>65</v>
      </c>
      <c r="S4" t="s">
        <v>66</v>
      </c>
      <c r="T4" t="s">
        <v>66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5</v>
      </c>
      <c r="AJ4">
        <v>2</v>
      </c>
      <c r="AK4">
        <v>33</v>
      </c>
      <c r="AL4">
        <v>1</v>
      </c>
      <c r="AM4">
        <v>30</v>
      </c>
      <c r="AN4">
        <v>0</v>
      </c>
      <c r="AO4" t="s">
        <v>67</v>
      </c>
      <c r="AP4" t="s">
        <v>68</v>
      </c>
      <c r="AQ4">
        <v>0.46300000000000002</v>
      </c>
      <c r="AR4" t="s">
        <v>69</v>
      </c>
      <c r="AS4">
        <v>63</v>
      </c>
      <c r="AT4">
        <v>1</v>
      </c>
      <c r="AU4">
        <v>2.265E-2</v>
      </c>
      <c r="AV4">
        <v>-3.8400000000000001E-3</v>
      </c>
      <c r="AW4">
        <v>0.11142000000000001</v>
      </c>
      <c r="AX4">
        <v>-1.9349999999999999E-2</v>
      </c>
      <c r="AY4">
        <v>6.7000000000000002E-4</v>
      </c>
      <c r="AZ4">
        <v>-2.7E-4</v>
      </c>
      <c r="BA4">
        <v>6.0099999999999997E-3</v>
      </c>
      <c r="BB4">
        <v>1</v>
      </c>
      <c r="BC4" t="s">
        <v>70</v>
      </c>
      <c r="BD4">
        <v>0.39400000000000002</v>
      </c>
      <c r="BE4">
        <v>0.26300000000000001</v>
      </c>
      <c r="BF4" t="s">
        <v>71</v>
      </c>
      <c r="BG4">
        <v>-3.7174721189590998E-3</v>
      </c>
      <c r="BI4">
        <v>64</v>
      </c>
      <c r="BJ4">
        <v>6.0099999999999997E-3</v>
      </c>
      <c r="BK4">
        <v>-3.7174721189590998E-3</v>
      </c>
      <c r="BQ4" t="s">
        <v>4213</v>
      </c>
      <c r="BX4" s="1" t="s">
        <v>4168</v>
      </c>
      <c r="BY4" s="2">
        <f>COUNTIF(BC:BC,"Purifying")</f>
        <v>722</v>
      </c>
      <c r="BZ4" s="4">
        <f>BY4/$BY$8</f>
        <v>0.98499317871759895</v>
      </c>
      <c r="CA4" s="5" t="s">
        <v>70</v>
      </c>
      <c r="CB4" s="9"/>
      <c r="CC4" s="6"/>
      <c r="CD4" s="36"/>
      <c r="CE4" s="39"/>
      <c r="CF4" s="40" t="s">
        <v>4175</v>
      </c>
      <c r="CG4" s="40" t="s">
        <v>4176</v>
      </c>
      <c r="CH4" s="40" t="s">
        <v>4175</v>
      </c>
      <c r="CI4" s="40" t="s">
        <v>4176</v>
      </c>
      <c r="CJ4" s="39"/>
      <c r="CK4" s="41" t="s">
        <v>4171</v>
      </c>
      <c r="CL4" s="41" t="s">
        <v>4172</v>
      </c>
      <c r="CM4" s="42" t="s">
        <v>4173</v>
      </c>
      <c r="CN4" s="40"/>
      <c r="CO4" s="40" t="s">
        <v>4177</v>
      </c>
      <c r="CP4" s="40" t="s">
        <v>4178</v>
      </c>
      <c r="CQ4" s="40" t="s">
        <v>4190</v>
      </c>
      <c r="CR4" s="40" t="s">
        <v>4179</v>
      </c>
      <c r="CS4" s="43"/>
      <c r="CT4" s="9"/>
    </row>
    <row r="5" spans="1:102" ht="16" thickBot="1">
      <c r="A5">
        <v>4</v>
      </c>
      <c r="B5" t="s">
        <v>75</v>
      </c>
      <c r="D5" t="s">
        <v>60</v>
      </c>
      <c r="E5">
        <v>3437</v>
      </c>
      <c r="F5">
        <v>4546</v>
      </c>
      <c r="G5" t="s">
        <v>77</v>
      </c>
      <c r="H5">
        <v>370</v>
      </c>
      <c r="I5" t="s">
        <v>63</v>
      </c>
      <c r="J5">
        <v>5</v>
      </c>
      <c r="K5" t="str">
        <f>HYPERLINK("Gene4-zp_tree_all.dnd", "Gene4-tree")</f>
        <v>Gene4-tree</v>
      </c>
      <c r="L5">
        <v>1</v>
      </c>
      <c r="M5">
        <v>4</v>
      </c>
      <c r="N5">
        <v>1</v>
      </c>
      <c r="O5">
        <v>4</v>
      </c>
      <c r="P5">
        <v>0.8</v>
      </c>
      <c r="Q5" t="s">
        <v>65</v>
      </c>
      <c r="R5" t="s">
        <v>64</v>
      </c>
      <c r="S5" t="s">
        <v>66</v>
      </c>
      <c r="T5" t="s">
        <v>66</v>
      </c>
      <c r="U5">
        <v>0</v>
      </c>
      <c r="V5">
        <v>0</v>
      </c>
      <c r="W5">
        <v>5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0</v>
      </c>
      <c r="AE5">
        <v>0</v>
      </c>
      <c r="AF5">
        <v>0</v>
      </c>
      <c r="AG5">
        <v>3</v>
      </c>
      <c r="AH5">
        <v>0</v>
      </c>
      <c r="AI5">
        <v>4</v>
      </c>
      <c r="AJ5">
        <v>1</v>
      </c>
      <c r="AK5">
        <v>14</v>
      </c>
      <c r="AL5">
        <v>3</v>
      </c>
      <c r="AM5">
        <v>31</v>
      </c>
      <c r="AN5">
        <v>3</v>
      </c>
      <c r="AO5" t="s">
        <v>78</v>
      </c>
      <c r="AP5" t="s">
        <v>79</v>
      </c>
      <c r="AQ5">
        <v>1.367</v>
      </c>
      <c r="AR5" t="s">
        <v>69</v>
      </c>
      <c r="AS5">
        <v>45</v>
      </c>
      <c r="AT5">
        <v>6</v>
      </c>
      <c r="AU5">
        <v>2.4320000000000001E-2</v>
      </c>
      <c r="AV5">
        <v>-5.0800000000000003E-3</v>
      </c>
      <c r="AW5">
        <v>0.10435999999999999</v>
      </c>
      <c r="AX5">
        <v>-2.2880000000000001E-2</v>
      </c>
      <c r="AY5">
        <v>3.5200000000000001E-3</v>
      </c>
      <c r="AZ5">
        <v>-5.8E-4</v>
      </c>
      <c r="BA5">
        <v>3.3700000000000001E-2</v>
      </c>
      <c r="BB5">
        <v>1</v>
      </c>
      <c r="BC5" t="s">
        <v>70</v>
      </c>
      <c r="BD5">
        <v>0.94299999999999995</v>
      </c>
      <c r="BE5">
        <v>0.81799999999999995</v>
      </c>
      <c r="BF5" t="s">
        <v>71</v>
      </c>
      <c r="BG5">
        <v>5.3254437869822403E-2</v>
      </c>
      <c r="BI5">
        <v>51</v>
      </c>
      <c r="BJ5">
        <v>3.3700000000000001E-2</v>
      </c>
      <c r="BK5">
        <v>5.3254437869822403E-2</v>
      </c>
      <c r="BM5">
        <f>BM6-0.05</f>
        <v>-0.54999999999999993</v>
      </c>
      <c r="BN5">
        <f>SUMIFS(BJ:BJ,BK:BK,"&lt;"&amp;BM6,BK:BK,"&gt;="&amp;BM5)</f>
        <v>0</v>
      </c>
      <c r="BO5">
        <f t="shared" ref="BO5:BO16" si="0">COUNTIFS(BK:BK,"&lt;"&amp;BM6,BK:BK,"&gt;="&amp;BM5)</f>
        <v>0</v>
      </c>
      <c r="BX5" s="8"/>
      <c r="BY5" s="9">
        <f>COUNTIF(BC:BC,"Neutral")</f>
        <v>11</v>
      </c>
      <c r="BZ5" s="10">
        <f>BY5/$BY$8</f>
        <v>1.5006821282401092E-2</v>
      </c>
      <c r="CA5" s="11" t="s">
        <v>188</v>
      </c>
      <c r="CB5" s="9"/>
      <c r="CC5" s="18" t="s">
        <v>4168</v>
      </c>
      <c r="CD5" s="20">
        <f>AVERAGE(AU4:AU736)</f>
        <v>2.6353533424283763E-2</v>
      </c>
      <c r="CE5" s="18" t="s">
        <v>4168</v>
      </c>
      <c r="CF5" s="19">
        <f>AVERAGE(AY4:AY736)</f>
        <v>4.6645020463847208E-3</v>
      </c>
      <c r="CG5" s="19">
        <f>STDEV(AY4:AY736)/SQRT(COUNTA(AY4:AY736))</f>
        <v>1.5261320158900841E-4</v>
      </c>
      <c r="CH5" s="19">
        <f>AVERAGE(AW4:AW734)</f>
        <v>0.11219564979480158</v>
      </c>
      <c r="CI5" s="19">
        <f>STDEV(AW4:AW734)/SQRT(COUNTA(AW4:AW734))</f>
        <v>1.2524850908981543E-3</v>
      </c>
      <c r="CJ5" s="18" t="s">
        <v>4168</v>
      </c>
      <c r="CK5" s="19">
        <f>AVERAGE(BA4:BA736)</f>
        <v>4.8152919508867666E-2</v>
      </c>
      <c r="CL5" s="19">
        <f>STDEV(BA4:BA736)</f>
        <v>5.702722243906938E-2</v>
      </c>
      <c r="CM5" s="20">
        <f>STDEV(BA4:BA736)/(SQRT(COUNTA(BA4:BA736)))</f>
        <v>2.1063485209153322E-3</v>
      </c>
      <c r="CN5" s="19" t="s">
        <v>4168</v>
      </c>
      <c r="CO5" s="19">
        <f>SUM(V$4:V$736)</f>
        <v>320</v>
      </c>
      <c r="CP5" s="19">
        <f>COUNTIF(V$4:V$736,"&gt;0")</f>
        <v>125</v>
      </c>
      <c r="CQ5" s="19">
        <f>SUM(H4:H736)</f>
        <v>192109</v>
      </c>
      <c r="CR5" s="19">
        <f>COUNTA(V$4:V$736)</f>
        <v>733</v>
      </c>
      <c r="CS5" s="44"/>
      <c r="CT5" s="9"/>
    </row>
    <row r="6" spans="1:102">
      <c r="A6">
        <v>6</v>
      </c>
      <c r="B6" t="s">
        <v>82</v>
      </c>
      <c r="D6" t="s">
        <v>60</v>
      </c>
      <c r="E6">
        <v>4867</v>
      </c>
      <c r="F6">
        <v>6780</v>
      </c>
      <c r="G6" t="s">
        <v>84</v>
      </c>
      <c r="H6">
        <v>638</v>
      </c>
      <c r="I6" t="s">
        <v>85</v>
      </c>
      <c r="J6">
        <v>4</v>
      </c>
      <c r="K6" t="str">
        <f>HYPERLINK("Gene6-zp_tree_all.dnd", "Gene6-tree")</f>
        <v>Gene6-tree</v>
      </c>
      <c r="L6">
        <v>3</v>
      </c>
      <c r="M6">
        <v>1</v>
      </c>
      <c r="N6">
        <v>3</v>
      </c>
      <c r="O6">
        <v>1</v>
      </c>
      <c r="P6">
        <v>0.25</v>
      </c>
      <c r="Q6" t="s">
        <v>86</v>
      </c>
      <c r="R6" t="s">
        <v>65</v>
      </c>
      <c r="S6" t="s">
        <v>66</v>
      </c>
      <c r="T6" t="s">
        <v>66</v>
      </c>
      <c r="U6">
        <v>0</v>
      </c>
      <c r="V6">
        <v>0</v>
      </c>
      <c r="W6">
        <v>5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4</v>
      </c>
      <c r="AH6">
        <v>0</v>
      </c>
      <c r="AI6">
        <v>4</v>
      </c>
      <c r="AJ6">
        <v>1</v>
      </c>
      <c r="AK6">
        <v>103</v>
      </c>
      <c r="AL6">
        <v>4</v>
      </c>
      <c r="AM6">
        <v>4</v>
      </c>
      <c r="AN6">
        <v>1</v>
      </c>
      <c r="AO6" t="s">
        <v>87</v>
      </c>
      <c r="AP6" t="s">
        <v>88</v>
      </c>
      <c r="AQ6">
        <v>2.7349999999999999</v>
      </c>
      <c r="AR6" t="s">
        <v>69</v>
      </c>
      <c r="AS6">
        <v>107</v>
      </c>
      <c r="AT6">
        <v>5</v>
      </c>
      <c r="AU6">
        <v>2.9170000000000001E-2</v>
      </c>
      <c r="AV6">
        <v>-7.7000000000000002E-3</v>
      </c>
      <c r="AW6">
        <v>0.13616</v>
      </c>
      <c r="AX6">
        <v>-3.7420000000000002E-2</v>
      </c>
      <c r="AY6">
        <v>1.9300000000000001E-3</v>
      </c>
      <c r="AZ6">
        <v>-6.3000000000000003E-4</v>
      </c>
      <c r="BA6">
        <v>1.417E-2</v>
      </c>
      <c r="BB6">
        <v>1</v>
      </c>
      <c r="BC6" t="s">
        <v>70</v>
      </c>
      <c r="BD6">
        <v>-0.63700000000000001</v>
      </c>
      <c r="BE6">
        <v>-0.63700000000000001</v>
      </c>
      <c r="BF6" t="s">
        <v>71</v>
      </c>
      <c r="BG6">
        <v>6.1413673232908403E-2</v>
      </c>
      <c r="BI6">
        <v>112</v>
      </c>
      <c r="BJ6">
        <v>1.417E-2</v>
      </c>
      <c r="BK6">
        <v>6.1413673232908403E-2</v>
      </c>
      <c r="BM6">
        <f>BM7-0.05</f>
        <v>-0.49999999999999994</v>
      </c>
      <c r="BN6">
        <f t="shared" ref="BN6:BN16" si="1">SUMIFS(BJ:BJ,BK:BK,"&lt;"&amp;BM7,BK:BK,"&gt;="&amp;BM6)</f>
        <v>0</v>
      </c>
      <c r="BO6">
        <f t="shared" si="0"/>
        <v>0</v>
      </c>
      <c r="BX6" s="8"/>
      <c r="BY6" s="9">
        <f>COUNTIF(BC:BC,"Positive")</f>
        <v>0</v>
      </c>
      <c r="BZ6" s="10">
        <f>BY6/$BY$8</f>
        <v>0</v>
      </c>
      <c r="CA6" s="11" t="s">
        <v>4180</v>
      </c>
      <c r="CB6" s="9"/>
      <c r="CC6" s="22"/>
      <c r="CT6" s="22"/>
    </row>
    <row r="7" spans="1:102">
      <c r="A7">
        <v>9</v>
      </c>
      <c r="B7" t="s">
        <v>89</v>
      </c>
      <c r="D7" t="s">
        <v>60</v>
      </c>
      <c r="E7">
        <v>15915</v>
      </c>
      <c r="F7">
        <v>17378</v>
      </c>
      <c r="G7" t="s">
        <v>91</v>
      </c>
      <c r="H7">
        <v>488</v>
      </c>
      <c r="I7" t="s">
        <v>85</v>
      </c>
      <c r="J7">
        <v>4</v>
      </c>
      <c r="K7" t="str">
        <f>HYPERLINK("Gene9-zp_tree_all.dnd", "Gene9-tree")</f>
        <v>Gene9-tree</v>
      </c>
      <c r="L7">
        <v>3</v>
      </c>
      <c r="M7">
        <v>1</v>
      </c>
      <c r="N7">
        <v>3</v>
      </c>
      <c r="O7">
        <v>1</v>
      </c>
      <c r="P7">
        <v>0.25</v>
      </c>
      <c r="Q7" t="s">
        <v>86</v>
      </c>
      <c r="R7" t="s">
        <v>65</v>
      </c>
      <c r="S7" t="s">
        <v>66</v>
      </c>
      <c r="T7" t="s">
        <v>66</v>
      </c>
      <c r="U7">
        <v>0</v>
      </c>
      <c r="V7">
        <v>0</v>
      </c>
      <c r="W7">
        <v>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4</v>
      </c>
      <c r="AH7">
        <v>0</v>
      </c>
      <c r="AI7">
        <v>4</v>
      </c>
      <c r="AJ7">
        <v>1</v>
      </c>
      <c r="AK7">
        <v>69</v>
      </c>
      <c r="AL7">
        <v>4</v>
      </c>
      <c r="AM7">
        <v>5</v>
      </c>
      <c r="AN7">
        <v>0</v>
      </c>
      <c r="AO7" t="s">
        <v>92</v>
      </c>
      <c r="AP7" t="s">
        <v>68</v>
      </c>
      <c r="AQ7">
        <v>0.41099999999999998</v>
      </c>
      <c r="AR7" t="s">
        <v>69</v>
      </c>
      <c r="AS7">
        <v>74</v>
      </c>
      <c r="AT7">
        <v>4</v>
      </c>
      <c r="AU7">
        <v>2.6749999999999999E-2</v>
      </c>
      <c r="AV7">
        <v>-7.9699999999999997E-3</v>
      </c>
      <c r="AW7">
        <v>0.12132</v>
      </c>
      <c r="AX7">
        <v>-3.6839999999999998E-2</v>
      </c>
      <c r="AY7">
        <v>1.7899999999999999E-3</v>
      </c>
      <c r="AZ7">
        <v>-7.2999999999999996E-4</v>
      </c>
      <c r="BA7">
        <v>1.478E-2</v>
      </c>
      <c r="BB7">
        <v>1</v>
      </c>
      <c r="BC7" t="s">
        <v>70</v>
      </c>
      <c r="BD7">
        <v>-0.57599999999999996</v>
      </c>
      <c r="BE7">
        <v>-0.57599999999999996</v>
      </c>
      <c r="BF7" t="s">
        <v>71</v>
      </c>
      <c r="BG7">
        <v>8.4639498432601795E-2</v>
      </c>
      <c r="BI7">
        <v>78</v>
      </c>
      <c r="BJ7">
        <v>1.478E-2</v>
      </c>
      <c r="BK7">
        <v>8.4639498432601795E-2</v>
      </c>
      <c r="BM7">
        <f>BM8-0.05</f>
        <v>-0.44999999999999996</v>
      </c>
      <c r="BN7">
        <f t="shared" si="1"/>
        <v>0</v>
      </c>
      <c r="BO7">
        <f t="shared" si="0"/>
        <v>0</v>
      </c>
      <c r="BX7" s="16"/>
      <c r="BY7" s="14">
        <f>COUNTA(BC4:BC2915)</f>
        <v>733</v>
      </c>
      <c r="BZ7" s="17"/>
      <c r="CA7" s="11" t="s">
        <v>4181</v>
      </c>
      <c r="CB7" s="9"/>
      <c r="CC7" s="9"/>
    </row>
    <row r="8" spans="1:102">
      <c r="A8">
        <v>9</v>
      </c>
      <c r="B8" t="s">
        <v>89</v>
      </c>
      <c r="D8" t="s">
        <v>60</v>
      </c>
      <c r="E8">
        <v>15915</v>
      </c>
      <c r="F8">
        <v>17378</v>
      </c>
      <c r="G8" t="s">
        <v>91</v>
      </c>
      <c r="H8">
        <v>488</v>
      </c>
      <c r="I8" t="s">
        <v>85</v>
      </c>
      <c r="J8">
        <v>4</v>
      </c>
      <c r="K8" t="str">
        <f>HYPERLINK("Gene9-zp_tree_all.dnd", "Gene9-tree")</f>
        <v>Gene9-tree</v>
      </c>
      <c r="L8">
        <v>3</v>
      </c>
      <c r="M8">
        <v>1</v>
      </c>
      <c r="N8">
        <v>3</v>
      </c>
      <c r="O8">
        <v>1</v>
      </c>
      <c r="P8">
        <v>0.25</v>
      </c>
      <c r="Q8" t="s">
        <v>86</v>
      </c>
      <c r="R8" t="s">
        <v>65</v>
      </c>
      <c r="S8" t="s">
        <v>66</v>
      </c>
      <c r="T8" t="s">
        <v>66</v>
      </c>
      <c r="U8">
        <v>0</v>
      </c>
      <c r="V8">
        <v>0</v>
      </c>
      <c r="W8">
        <v>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</v>
      </c>
      <c r="AH8">
        <v>0</v>
      </c>
      <c r="AI8">
        <v>4</v>
      </c>
      <c r="AJ8">
        <v>1</v>
      </c>
      <c r="AK8">
        <v>69</v>
      </c>
      <c r="AL8">
        <v>4</v>
      </c>
      <c r="AM8">
        <v>5</v>
      </c>
      <c r="AN8">
        <v>0</v>
      </c>
      <c r="AO8" t="s">
        <v>92</v>
      </c>
      <c r="AP8" t="s">
        <v>68</v>
      </c>
      <c r="AQ8">
        <v>0.41099999999999998</v>
      </c>
      <c r="AR8" t="s">
        <v>69</v>
      </c>
      <c r="AS8">
        <v>74</v>
      </c>
      <c r="AT8">
        <v>4</v>
      </c>
      <c r="AU8">
        <v>2.6749999999999999E-2</v>
      </c>
      <c r="AV8">
        <v>-7.9699999999999997E-3</v>
      </c>
      <c r="AW8">
        <v>0.12132</v>
      </c>
      <c r="AX8">
        <v>-3.6839999999999998E-2</v>
      </c>
      <c r="AY8">
        <v>1.7899999999999999E-3</v>
      </c>
      <c r="AZ8">
        <v>-7.2999999999999996E-4</v>
      </c>
      <c r="BA8">
        <v>1.478E-2</v>
      </c>
      <c r="BB8">
        <v>1</v>
      </c>
      <c r="BC8" t="s">
        <v>70</v>
      </c>
      <c r="BD8">
        <v>-0.57599999999999996</v>
      </c>
      <c r="BE8">
        <v>-0.57599999999999996</v>
      </c>
      <c r="BF8" t="s">
        <v>71</v>
      </c>
      <c r="BG8">
        <v>8.4639498432601795E-2</v>
      </c>
      <c r="BI8">
        <v>78</v>
      </c>
      <c r="BJ8">
        <v>1.478E-2</v>
      </c>
      <c r="BK8">
        <v>8.4639498432601795E-2</v>
      </c>
      <c r="BM8">
        <f t="shared" ref="BM8:BM13" si="2">BM9-0.05</f>
        <v>-0.39999999999999997</v>
      </c>
      <c r="BN8">
        <f t="shared" si="1"/>
        <v>0</v>
      </c>
      <c r="BO8">
        <f t="shared" si="0"/>
        <v>0</v>
      </c>
      <c r="BX8" s="16"/>
      <c r="BY8" s="14">
        <f>SUM(BY4:BY6)</f>
        <v>733</v>
      </c>
      <c r="BZ8" s="17"/>
      <c r="CA8" s="3" t="s">
        <v>4182</v>
      </c>
      <c r="CB8" s="9"/>
      <c r="CJ8" s="9"/>
      <c r="CK8" s="9"/>
      <c r="CL8" s="9"/>
      <c r="CM8" s="9"/>
    </row>
    <row r="9" spans="1:102">
      <c r="A9">
        <v>10</v>
      </c>
      <c r="B9" t="s">
        <v>93</v>
      </c>
      <c r="D9" t="s">
        <v>60</v>
      </c>
      <c r="E9">
        <v>17534</v>
      </c>
      <c r="F9">
        <v>18862</v>
      </c>
      <c r="G9" t="s">
        <v>95</v>
      </c>
      <c r="H9">
        <v>443</v>
      </c>
      <c r="I9" t="s">
        <v>63</v>
      </c>
      <c r="J9">
        <v>5</v>
      </c>
      <c r="K9" t="str">
        <f>HYPERLINK("Gene10-zp_tree_all.dnd", "Gene10-tree")</f>
        <v>Gene10-tree</v>
      </c>
      <c r="L9">
        <v>0</v>
      </c>
      <c r="M9">
        <v>5</v>
      </c>
      <c r="N9">
        <v>0</v>
      </c>
      <c r="O9">
        <v>5</v>
      </c>
      <c r="P9">
        <v>1</v>
      </c>
      <c r="Q9" t="s">
        <v>66</v>
      </c>
      <c r="R9" t="s">
        <v>96</v>
      </c>
      <c r="S9" t="s">
        <v>66</v>
      </c>
      <c r="T9" t="s">
        <v>66</v>
      </c>
      <c r="U9">
        <v>1</v>
      </c>
      <c r="V9">
        <v>2</v>
      </c>
      <c r="W9">
        <v>13</v>
      </c>
      <c r="X9">
        <v>0.13333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2</v>
      </c>
      <c r="AG9">
        <v>13</v>
      </c>
      <c r="AH9">
        <v>0.13333</v>
      </c>
      <c r="AI9">
        <v>5</v>
      </c>
      <c r="AJ9">
        <v>2</v>
      </c>
      <c r="AK9">
        <v>26</v>
      </c>
      <c r="AL9">
        <v>9</v>
      </c>
      <c r="AM9">
        <v>35</v>
      </c>
      <c r="AN9">
        <v>6</v>
      </c>
      <c r="AO9" t="s">
        <v>97</v>
      </c>
      <c r="AP9" t="s">
        <v>98</v>
      </c>
      <c r="AQ9">
        <v>0.76600000000000001</v>
      </c>
      <c r="AR9" t="s">
        <v>69</v>
      </c>
      <c r="AS9">
        <v>61</v>
      </c>
      <c r="AT9">
        <v>15</v>
      </c>
      <c r="AU9">
        <v>2.852E-2</v>
      </c>
      <c r="AV9">
        <v>-5.3600000000000002E-3</v>
      </c>
      <c r="AW9">
        <v>0.11509</v>
      </c>
      <c r="AX9">
        <v>-2.281E-2</v>
      </c>
      <c r="AY9">
        <v>6.8300000000000001E-3</v>
      </c>
      <c r="AZ9">
        <v>-1.14E-3</v>
      </c>
      <c r="BA9">
        <v>5.9339999999999997E-2</v>
      </c>
      <c r="BB9">
        <v>1</v>
      </c>
      <c r="BC9" t="s">
        <v>70</v>
      </c>
      <c r="BD9">
        <v>0.61899999999999999</v>
      </c>
      <c r="BE9">
        <v>0.51100000000000001</v>
      </c>
      <c r="BF9" t="s">
        <v>71</v>
      </c>
      <c r="BG9">
        <v>0.13703703703703701</v>
      </c>
      <c r="BI9">
        <v>76</v>
      </c>
      <c r="BJ9">
        <v>5.9339999999999997E-2</v>
      </c>
      <c r="BK9">
        <v>0.13703703703703701</v>
      </c>
      <c r="BM9">
        <f t="shared" si="2"/>
        <v>-0.35</v>
      </c>
      <c r="BN9">
        <f t="shared" si="1"/>
        <v>0</v>
      </c>
      <c r="BO9">
        <f t="shared" si="0"/>
        <v>0</v>
      </c>
    </row>
    <row r="10" spans="1:102">
      <c r="A10">
        <v>11</v>
      </c>
      <c r="B10" t="s">
        <v>99</v>
      </c>
      <c r="D10" t="s">
        <v>60</v>
      </c>
      <c r="E10">
        <v>19062</v>
      </c>
      <c r="F10">
        <v>19943</v>
      </c>
      <c r="G10" t="s">
        <v>101</v>
      </c>
      <c r="H10">
        <v>294</v>
      </c>
      <c r="I10" t="s">
        <v>63</v>
      </c>
      <c r="J10">
        <v>5</v>
      </c>
      <c r="K10" t="str">
        <f>HYPERLINK("Gene11-zp_tree_all.dnd", "Gene11-tree")</f>
        <v>Gene11-tree</v>
      </c>
      <c r="L10">
        <v>5</v>
      </c>
      <c r="M10">
        <v>0</v>
      </c>
      <c r="N10">
        <v>5</v>
      </c>
      <c r="O10">
        <v>0</v>
      </c>
      <c r="P10">
        <v>0</v>
      </c>
      <c r="Q10" t="s">
        <v>96</v>
      </c>
      <c r="R10" t="s">
        <v>66</v>
      </c>
      <c r="S10" t="s">
        <v>66</v>
      </c>
      <c r="T10" t="s">
        <v>66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5</v>
      </c>
      <c r="AJ10">
        <v>2</v>
      </c>
      <c r="AK10">
        <v>21</v>
      </c>
      <c r="AL10">
        <v>0</v>
      </c>
      <c r="AM10">
        <v>26</v>
      </c>
      <c r="AN10">
        <v>1</v>
      </c>
      <c r="AO10" t="s">
        <v>68</v>
      </c>
      <c r="AP10" t="s">
        <v>102</v>
      </c>
      <c r="AQ10">
        <v>0.75900000000000001</v>
      </c>
      <c r="AR10" t="s">
        <v>69</v>
      </c>
      <c r="AS10">
        <v>47</v>
      </c>
      <c r="AT10">
        <v>1</v>
      </c>
      <c r="AU10">
        <v>2.63E-2</v>
      </c>
      <c r="AV10">
        <v>-4.81E-3</v>
      </c>
      <c r="AW10">
        <v>0.11922000000000001</v>
      </c>
      <c r="AX10">
        <v>-2.2200000000000001E-2</v>
      </c>
      <c r="AY10">
        <v>1.1900000000000001E-3</v>
      </c>
      <c r="AZ10">
        <v>-3.3E-4</v>
      </c>
      <c r="BA10">
        <v>9.9799999999999993E-3</v>
      </c>
      <c r="BB10">
        <v>1</v>
      </c>
      <c r="BC10" t="s">
        <v>70</v>
      </c>
      <c r="BD10">
        <v>0.93400000000000005</v>
      </c>
      <c r="BE10">
        <v>0.93400000000000005</v>
      </c>
      <c r="BF10" t="s">
        <v>71</v>
      </c>
      <c r="BG10">
        <v>0.14987714987714901</v>
      </c>
      <c r="BI10">
        <v>48</v>
      </c>
      <c r="BJ10">
        <v>9.9799999999999993E-3</v>
      </c>
      <c r="BK10">
        <v>0.14987714987714901</v>
      </c>
      <c r="BM10">
        <f t="shared" si="2"/>
        <v>-0.3</v>
      </c>
      <c r="BN10">
        <f t="shared" si="1"/>
        <v>0.23713000000000001</v>
      </c>
      <c r="BO10">
        <f t="shared" si="0"/>
        <v>1</v>
      </c>
    </row>
    <row r="11" spans="1:102">
      <c r="A11">
        <v>21</v>
      </c>
      <c r="B11" t="s">
        <v>107</v>
      </c>
      <c r="D11" t="s">
        <v>60</v>
      </c>
      <c r="E11">
        <v>28867</v>
      </c>
      <c r="F11">
        <v>29460</v>
      </c>
      <c r="G11" t="s">
        <v>109</v>
      </c>
      <c r="H11">
        <v>198</v>
      </c>
      <c r="I11" t="s">
        <v>63</v>
      </c>
      <c r="J11">
        <v>5</v>
      </c>
      <c r="K11" t="str">
        <f>HYPERLINK("Gene21-zp_tree_all.dnd", "Gene21-tree")</f>
        <v>Gene21-tree</v>
      </c>
      <c r="L11">
        <v>5</v>
      </c>
      <c r="M11">
        <v>0</v>
      </c>
      <c r="N11">
        <v>5</v>
      </c>
      <c r="O11">
        <v>0</v>
      </c>
      <c r="P11">
        <v>0</v>
      </c>
      <c r="Q11" t="s">
        <v>96</v>
      </c>
      <c r="R11" t="s">
        <v>66</v>
      </c>
      <c r="S11" t="s">
        <v>66</v>
      </c>
      <c r="T11" t="s">
        <v>66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5</v>
      </c>
      <c r="AJ11">
        <v>2</v>
      </c>
      <c r="AK11">
        <v>12</v>
      </c>
      <c r="AL11">
        <v>0</v>
      </c>
      <c r="AM11">
        <v>11</v>
      </c>
      <c r="AN11">
        <v>0</v>
      </c>
      <c r="AO11" t="s">
        <v>68</v>
      </c>
      <c r="AP11" t="s">
        <v>68</v>
      </c>
      <c r="AQ11">
        <v>0</v>
      </c>
      <c r="AR11" t="s">
        <v>69</v>
      </c>
      <c r="AS11">
        <v>23</v>
      </c>
      <c r="AT11">
        <v>0</v>
      </c>
      <c r="AU11">
        <v>1.8519999999999998E-2</v>
      </c>
      <c r="AV11">
        <v>-2.4599999999999999E-3</v>
      </c>
      <c r="AW11">
        <v>8.5339999999999999E-2</v>
      </c>
      <c r="AX11">
        <v>-1.183E-2</v>
      </c>
      <c r="AY11">
        <v>0</v>
      </c>
      <c r="AZ11">
        <v>0</v>
      </c>
      <c r="BA11">
        <v>0</v>
      </c>
      <c r="BB11">
        <v>1</v>
      </c>
      <c r="BC11" t="s">
        <v>70</v>
      </c>
      <c r="BD11">
        <v>0.67600000000000005</v>
      </c>
      <c r="BE11">
        <v>0.38200000000000001</v>
      </c>
      <c r="BF11" t="s">
        <v>71</v>
      </c>
      <c r="BG11">
        <v>0.108527131782945</v>
      </c>
      <c r="BI11">
        <v>23</v>
      </c>
      <c r="BJ11">
        <v>0</v>
      </c>
      <c r="BK11">
        <v>0.108527131782945</v>
      </c>
      <c r="BM11">
        <f t="shared" si="2"/>
        <v>-0.25</v>
      </c>
      <c r="BN11">
        <f t="shared" si="1"/>
        <v>0</v>
      </c>
      <c r="BO11">
        <f t="shared" si="0"/>
        <v>0</v>
      </c>
      <c r="BX11" t="s">
        <v>4183</v>
      </c>
      <c r="BY11">
        <v>2915</v>
      </c>
    </row>
    <row r="12" spans="1:102">
      <c r="A12">
        <v>22</v>
      </c>
      <c r="B12" t="s">
        <v>110</v>
      </c>
      <c r="D12" t="s">
        <v>60</v>
      </c>
      <c r="E12">
        <v>29481</v>
      </c>
      <c r="F12">
        <v>29702</v>
      </c>
      <c r="G12" t="s">
        <v>74</v>
      </c>
      <c r="H12">
        <v>74</v>
      </c>
      <c r="I12" t="s">
        <v>63</v>
      </c>
      <c r="J12">
        <v>5</v>
      </c>
      <c r="K12" t="str">
        <f>HYPERLINK("Gene22-zp_tree_all.dnd", "Gene22-tree")</f>
        <v>Gene22-tree</v>
      </c>
      <c r="L12">
        <v>4</v>
      </c>
      <c r="M12">
        <v>1</v>
      </c>
      <c r="N12">
        <v>3</v>
      </c>
      <c r="O12">
        <v>1</v>
      </c>
      <c r="P12">
        <v>0.25</v>
      </c>
      <c r="Q12" t="s">
        <v>112</v>
      </c>
      <c r="R12" t="s">
        <v>65</v>
      </c>
      <c r="S12" t="s">
        <v>66</v>
      </c>
      <c r="T12" t="s">
        <v>66</v>
      </c>
      <c r="U12">
        <v>1</v>
      </c>
      <c r="V12">
        <v>2</v>
      </c>
      <c r="W12">
        <v>0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3</v>
      </c>
      <c r="AJ12">
        <v>1</v>
      </c>
      <c r="AK12">
        <v>7</v>
      </c>
      <c r="AL12">
        <v>1</v>
      </c>
      <c r="AM12">
        <v>3</v>
      </c>
      <c r="AN12">
        <v>1</v>
      </c>
      <c r="AO12" t="s">
        <v>113</v>
      </c>
      <c r="AP12" t="s">
        <v>114</v>
      </c>
      <c r="AQ12">
        <v>1.002</v>
      </c>
      <c r="AR12" t="s">
        <v>69</v>
      </c>
      <c r="AS12">
        <v>10</v>
      </c>
      <c r="AT12">
        <v>2</v>
      </c>
      <c r="AU12">
        <v>3.0030000000000001E-2</v>
      </c>
      <c r="AV12">
        <v>-5.2700000000000004E-3</v>
      </c>
      <c r="AW12">
        <v>0.14268</v>
      </c>
      <c r="AX12">
        <v>-2.4410000000000001E-2</v>
      </c>
      <c r="AY12">
        <v>6.5599999999999999E-3</v>
      </c>
      <c r="AZ12">
        <v>-1.14E-3</v>
      </c>
      <c r="BA12">
        <v>4.5949999999999998E-2</v>
      </c>
      <c r="BB12">
        <v>1</v>
      </c>
      <c r="BC12" t="s">
        <v>70</v>
      </c>
      <c r="BD12">
        <v>0.05</v>
      </c>
      <c r="BE12">
        <v>0.05</v>
      </c>
      <c r="BF12" t="s">
        <v>71</v>
      </c>
      <c r="BG12">
        <v>0.317647058823529</v>
      </c>
      <c r="BI12">
        <v>12</v>
      </c>
      <c r="BJ12">
        <v>4.5949999999999998E-2</v>
      </c>
      <c r="BK12">
        <v>0.317647058823529</v>
      </c>
      <c r="BM12">
        <f t="shared" si="2"/>
        <v>-0.2</v>
      </c>
      <c r="BN12">
        <f t="shared" si="1"/>
        <v>0</v>
      </c>
      <c r="BO12">
        <f t="shared" si="0"/>
        <v>0</v>
      </c>
    </row>
    <row r="13" spans="1:102">
      <c r="A13">
        <v>29</v>
      </c>
      <c r="B13" t="s">
        <v>118</v>
      </c>
      <c r="D13" t="s">
        <v>60</v>
      </c>
      <c r="E13">
        <v>39871</v>
      </c>
      <c r="F13">
        <v>40197</v>
      </c>
      <c r="G13" t="s">
        <v>74</v>
      </c>
      <c r="H13">
        <v>109</v>
      </c>
      <c r="I13" t="s">
        <v>63</v>
      </c>
      <c r="J13">
        <v>5</v>
      </c>
      <c r="K13" t="str">
        <f>HYPERLINK("Gene29-zp_tree_all.dnd", "Gene29-tree")</f>
        <v>Gene29-tree</v>
      </c>
      <c r="L13">
        <v>5</v>
      </c>
      <c r="M13">
        <v>0</v>
      </c>
      <c r="N13">
        <v>5</v>
      </c>
      <c r="O13">
        <v>0</v>
      </c>
      <c r="P13">
        <v>0</v>
      </c>
      <c r="Q13" t="s">
        <v>96</v>
      </c>
      <c r="R13" t="s">
        <v>66</v>
      </c>
      <c r="S13" t="s">
        <v>66</v>
      </c>
      <c r="T13" t="s">
        <v>66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4</v>
      </c>
      <c r="AJ13">
        <v>2</v>
      </c>
      <c r="AK13">
        <v>6</v>
      </c>
      <c r="AL13">
        <v>0</v>
      </c>
      <c r="AM13">
        <v>11</v>
      </c>
      <c r="AN13">
        <v>1</v>
      </c>
      <c r="AO13" t="s">
        <v>68</v>
      </c>
      <c r="AP13" t="s">
        <v>120</v>
      </c>
      <c r="AQ13">
        <v>0.98899999999999999</v>
      </c>
      <c r="AR13" t="s">
        <v>69</v>
      </c>
      <c r="AS13">
        <v>17</v>
      </c>
      <c r="AT13">
        <v>1</v>
      </c>
      <c r="AU13">
        <v>2.7519999999999999E-2</v>
      </c>
      <c r="AV13">
        <v>-4.62E-3</v>
      </c>
      <c r="AW13">
        <v>0.12463</v>
      </c>
      <c r="AX13">
        <v>-2.1010000000000001E-2</v>
      </c>
      <c r="AY13">
        <v>2.3900000000000002E-3</v>
      </c>
      <c r="AZ13">
        <v>-5.6999999999999998E-4</v>
      </c>
      <c r="BA13">
        <v>1.9140000000000001E-2</v>
      </c>
      <c r="BB13">
        <v>1</v>
      </c>
      <c r="BC13" t="s">
        <v>70</v>
      </c>
      <c r="BD13">
        <v>1.26</v>
      </c>
      <c r="BE13">
        <v>0.878</v>
      </c>
      <c r="BF13" t="s">
        <v>71</v>
      </c>
      <c r="BG13">
        <v>8.6956521739130405E-2</v>
      </c>
      <c r="BI13">
        <v>18</v>
      </c>
      <c r="BJ13">
        <v>1.9140000000000001E-2</v>
      </c>
      <c r="BK13">
        <v>8.6956521739130405E-2</v>
      </c>
      <c r="BM13">
        <f t="shared" si="2"/>
        <v>-0.15000000000000002</v>
      </c>
      <c r="BN13">
        <f t="shared" si="1"/>
        <v>0</v>
      </c>
      <c r="BO13">
        <f t="shared" si="0"/>
        <v>0</v>
      </c>
    </row>
    <row r="14" spans="1:102">
      <c r="A14">
        <v>31</v>
      </c>
      <c r="B14" t="s">
        <v>121</v>
      </c>
      <c r="D14" t="s">
        <v>60</v>
      </c>
      <c r="E14">
        <v>40665</v>
      </c>
      <c r="F14">
        <v>41651</v>
      </c>
      <c r="G14" t="s">
        <v>123</v>
      </c>
      <c r="H14">
        <v>329</v>
      </c>
      <c r="I14" t="s">
        <v>63</v>
      </c>
      <c r="J14">
        <v>5</v>
      </c>
      <c r="K14" t="str">
        <f>HYPERLINK("Gene31-zp_tree_all.dnd", "Gene31-tree")</f>
        <v>Gene31-tree</v>
      </c>
      <c r="L14">
        <v>3</v>
      </c>
      <c r="M14">
        <v>2</v>
      </c>
      <c r="N14">
        <v>3</v>
      </c>
      <c r="O14">
        <v>2</v>
      </c>
      <c r="P14">
        <v>0.4</v>
      </c>
      <c r="Q14" t="s">
        <v>86</v>
      </c>
      <c r="R14" t="s">
        <v>124</v>
      </c>
      <c r="S14" t="s">
        <v>66</v>
      </c>
      <c r="T14" t="s">
        <v>66</v>
      </c>
      <c r="U14">
        <v>0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0</v>
      </c>
      <c r="AI14">
        <v>5</v>
      </c>
      <c r="AJ14">
        <v>2</v>
      </c>
      <c r="AK14">
        <v>21</v>
      </c>
      <c r="AL14">
        <v>2</v>
      </c>
      <c r="AM14">
        <v>14</v>
      </c>
      <c r="AN14">
        <v>2</v>
      </c>
      <c r="AO14" t="s">
        <v>125</v>
      </c>
      <c r="AP14" t="s">
        <v>126</v>
      </c>
      <c r="AQ14">
        <v>0.28599999999999998</v>
      </c>
      <c r="AR14" t="s">
        <v>69</v>
      </c>
      <c r="AS14">
        <v>35</v>
      </c>
      <c r="AT14">
        <v>4</v>
      </c>
      <c r="AU14">
        <v>1.8540000000000001E-2</v>
      </c>
      <c r="AV14">
        <v>-2.7599999999999999E-3</v>
      </c>
      <c r="AW14">
        <v>8.4669999999999995E-2</v>
      </c>
      <c r="AX14">
        <v>-1.282E-2</v>
      </c>
      <c r="AY14">
        <v>2.5699999999999998E-3</v>
      </c>
      <c r="AZ14">
        <v>-4.8000000000000001E-4</v>
      </c>
      <c r="BA14">
        <v>3.032E-2</v>
      </c>
      <c r="BB14">
        <v>1</v>
      </c>
      <c r="BC14" t="s">
        <v>70</v>
      </c>
      <c r="BD14">
        <v>0.22800000000000001</v>
      </c>
      <c r="BE14">
        <v>1.7000000000000001E-2</v>
      </c>
      <c r="BF14" t="s">
        <v>71</v>
      </c>
      <c r="BG14">
        <v>6.0532687651331699E-2</v>
      </c>
      <c r="BI14">
        <v>39</v>
      </c>
      <c r="BJ14">
        <v>3.032E-2</v>
      </c>
      <c r="BK14">
        <v>6.0532687651331699E-2</v>
      </c>
      <c r="BM14">
        <f>BM15-0.05</f>
        <v>-0.1</v>
      </c>
      <c r="BN14">
        <f t="shared" si="1"/>
        <v>0.40703</v>
      </c>
      <c r="BO14">
        <f t="shared" si="0"/>
        <v>4</v>
      </c>
      <c r="BP14">
        <f t="shared" ref="BP14:BP23" si="3">BN14/BO14</f>
        <v>0.1017575</v>
      </c>
      <c r="CW14" s="9"/>
      <c r="CX14" s="9"/>
    </row>
    <row r="15" spans="1:102">
      <c r="A15">
        <v>32</v>
      </c>
      <c r="B15" t="s">
        <v>127</v>
      </c>
      <c r="D15" t="s">
        <v>60</v>
      </c>
      <c r="E15">
        <v>41657</v>
      </c>
      <c r="F15">
        <v>42481</v>
      </c>
      <c r="G15" t="s">
        <v>129</v>
      </c>
      <c r="H15">
        <v>275</v>
      </c>
      <c r="I15" t="s">
        <v>63</v>
      </c>
      <c r="J15">
        <v>5</v>
      </c>
      <c r="K15" t="str">
        <f>HYPERLINK("Gene32-zp_tree_all.dnd", "Gene32-tree")</f>
        <v>Gene32-tree</v>
      </c>
      <c r="L15">
        <v>3</v>
      </c>
      <c r="M15">
        <v>2</v>
      </c>
      <c r="N15">
        <v>3</v>
      </c>
      <c r="O15">
        <v>2</v>
      </c>
      <c r="P15">
        <v>0.4</v>
      </c>
      <c r="Q15" t="s">
        <v>86</v>
      </c>
      <c r="R15" t="s">
        <v>124</v>
      </c>
      <c r="S15" t="s">
        <v>66</v>
      </c>
      <c r="T15" t="s">
        <v>66</v>
      </c>
      <c r="U15">
        <v>0</v>
      </c>
      <c r="V15">
        <v>0</v>
      </c>
      <c r="W15">
        <v>3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0</v>
      </c>
      <c r="AI15">
        <v>4</v>
      </c>
      <c r="AJ15">
        <v>2</v>
      </c>
      <c r="AK15">
        <v>19</v>
      </c>
      <c r="AL15">
        <v>2</v>
      </c>
      <c r="AM15">
        <v>20</v>
      </c>
      <c r="AN15">
        <v>1</v>
      </c>
      <c r="AO15" t="s">
        <v>130</v>
      </c>
      <c r="AP15" t="s">
        <v>131</v>
      </c>
      <c r="AQ15">
        <v>0.55200000000000005</v>
      </c>
      <c r="AR15" t="s">
        <v>69</v>
      </c>
      <c r="AS15">
        <v>39</v>
      </c>
      <c r="AT15">
        <v>3</v>
      </c>
      <c r="AU15">
        <v>2.461E-2</v>
      </c>
      <c r="AV15">
        <v>-4.62E-3</v>
      </c>
      <c r="AW15">
        <v>0.11305999999999999</v>
      </c>
      <c r="AX15">
        <v>-2.2110000000000001E-2</v>
      </c>
      <c r="AY15">
        <v>2.1900000000000001E-3</v>
      </c>
      <c r="AZ15">
        <v>-4.0000000000000002E-4</v>
      </c>
      <c r="BA15">
        <v>1.9390000000000001E-2</v>
      </c>
      <c r="BB15">
        <v>1</v>
      </c>
      <c r="BC15" t="s">
        <v>70</v>
      </c>
      <c r="BD15">
        <v>0.63400000000000001</v>
      </c>
      <c r="BE15">
        <v>0.27300000000000002</v>
      </c>
      <c r="BF15" t="s">
        <v>71</v>
      </c>
      <c r="BG15">
        <v>0.21126760563380201</v>
      </c>
      <c r="BI15">
        <v>42</v>
      </c>
      <c r="BJ15">
        <v>1.9390000000000001E-2</v>
      </c>
      <c r="BK15">
        <v>0.21126760563380201</v>
      </c>
      <c r="BM15">
        <v>-0.05</v>
      </c>
      <c r="BN15">
        <f t="shared" si="1"/>
        <v>0.95917999999999992</v>
      </c>
      <c r="BO15">
        <f t="shared" si="0"/>
        <v>25</v>
      </c>
      <c r="BP15">
        <f t="shared" si="3"/>
        <v>3.8367199999999997E-2</v>
      </c>
      <c r="CG15" s="9"/>
      <c r="CH15" s="9"/>
      <c r="CI15" s="9"/>
    </row>
    <row r="16" spans="1:102">
      <c r="A16">
        <v>33</v>
      </c>
      <c r="B16" t="s">
        <v>132</v>
      </c>
      <c r="D16" t="s">
        <v>60</v>
      </c>
      <c r="E16">
        <v>42499</v>
      </c>
      <c r="F16">
        <v>42855</v>
      </c>
      <c r="G16" t="s">
        <v>134</v>
      </c>
      <c r="H16">
        <v>119</v>
      </c>
      <c r="I16" t="s">
        <v>63</v>
      </c>
      <c r="J16">
        <v>5</v>
      </c>
      <c r="K16" t="str">
        <f>HYPERLINK("Gene33-zp_tree_all.dnd", "Gene33-tree")</f>
        <v>Gene33-tree</v>
      </c>
      <c r="L16">
        <v>5</v>
      </c>
      <c r="M16">
        <v>0</v>
      </c>
      <c r="N16">
        <v>4</v>
      </c>
      <c r="O16">
        <v>0</v>
      </c>
      <c r="P16">
        <v>0</v>
      </c>
      <c r="Q16" t="s">
        <v>135</v>
      </c>
      <c r="R16" t="s">
        <v>66</v>
      </c>
      <c r="S16" t="s">
        <v>66</v>
      </c>
      <c r="T16" t="s">
        <v>66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</v>
      </c>
      <c r="AJ16">
        <v>0</v>
      </c>
      <c r="AK16">
        <v>4</v>
      </c>
      <c r="AL16">
        <v>0</v>
      </c>
      <c r="AM16">
        <v>0</v>
      </c>
      <c r="AN16">
        <v>0</v>
      </c>
      <c r="AO16" t="s">
        <v>68</v>
      </c>
      <c r="AP16" t="s">
        <v>68</v>
      </c>
      <c r="AQ16">
        <v>0</v>
      </c>
      <c r="AR16" t="s">
        <v>69</v>
      </c>
      <c r="AS16">
        <v>4</v>
      </c>
      <c r="AT16">
        <v>0</v>
      </c>
      <c r="AU16">
        <v>5.5999999999999999E-3</v>
      </c>
      <c r="AV16">
        <v>-9.3000000000000005E-4</v>
      </c>
      <c r="AW16">
        <v>2.8670000000000001E-2</v>
      </c>
      <c r="AX16">
        <v>-4.8599999999999997E-3</v>
      </c>
      <c r="AY16">
        <v>0</v>
      </c>
      <c r="AZ16">
        <v>0</v>
      </c>
      <c r="BA16">
        <v>0</v>
      </c>
      <c r="BB16">
        <v>1</v>
      </c>
      <c r="BC16" t="s">
        <v>70</v>
      </c>
      <c r="BD16">
        <v>-0.41</v>
      </c>
      <c r="BE16">
        <v>-0.41</v>
      </c>
      <c r="BF16" t="s">
        <v>71</v>
      </c>
      <c r="BG16">
        <v>0.20588235294117599</v>
      </c>
      <c r="BI16">
        <v>4</v>
      </c>
      <c r="BJ16">
        <v>0</v>
      </c>
      <c r="BK16">
        <v>0.20588235294117599</v>
      </c>
      <c r="BM16">
        <v>0</v>
      </c>
      <c r="BN16">
        <f t="shared" si="1"/>
        <v>3.9127700000000001</v>
      </c>
      <c r="BO16">
        <f t="shared" si="0"/>
        <v>95</v>
      </c>
      <c r="BP16">
        <f t="shared" si="3"/>
        <v>4.1187052631578951E-2</v>
      </c>
      <c r="CG16" s="9"/>
      <c r="CH16" s="9"/>
      <c r="CI16" s="9"/>
      <c r="CJ16" s="9"/>
    </row>
    <row r="17" spans="1:88">
      <c r="A17">
        <v>40</v>
      </c>
      <c r="B17" t="s">
        <v>140</v>
      </c>
      <c r="D17" t="s">
        <v>60</v>
      </c>
      <c r="E17">
        <v>48629</v>
      </c>
      <c r="F17">
        <v>49939</v>
      </c>
      <c r="G17" t="s">
        <v>74</v>
      </c>
      <c r="H17">
        <v>437</v>
      </c>
      <c r="I17" t="s">
        <v>63</v>
      </c>
      <c r="J17">
        <v>5</v>
      </c>
      <c r="K17" t="str">
        <f>HYPERLINK("Gene40-zp_tree_all.dnd", "Gene40-tree")</f>
        <v>Gene40-tree</v>
      </c>
      <c r="L17">
        <v>1</v>
      </c>
      <c r="M17">
        <v>4</v>
      </c>
      <c r="N17">
        <v>1</v>
      </c>
      <c r="O17">
        <v>4</v>
      </c>
      <c r="P17">
        <v>0.8</v>
      </c>
      <c r="Q17" t="s">
        <v>65</v>
      </c>
      <c r="R17" t="s">
        <v>64</v>
      </c>
      <c r="S17" t="s">
        <v>66</v>
      </c>
      <c r="T17" t="s">
        <v>66</v>
      </c>
      <c r="U17">
        <v>2</v>
      </c>
      <c r="V17">
        <v>4</v>
      </c>
      <c r="W17">
        <v>7</v>
      </c>
      <c r="X17">
        <v>0.36364000000000002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4</v>
      </c>
      <c r="AG17">
        <v>7</v>
      </c>
      <c r="AH17">
        <v>0.36364000000000002</v>
      </c>
      <c r="AI17">
        <v>5</v>
      </c>
      <c r="AJ17">
        <v>2</v>
      </c>
      <c r="AK17">
        <v>16</v>
      </c>
      <c r="AL17">
        <v>7</v>
      </c>
      <c r="AM17">
        <v>29</v>
      </c>
      <c r="AN17">
        <v>4</v>
      </c>
      <c r="AO17" t="s">
        <v>142</v>
      </c>
      <c r="AP17" t="s">
        <v>143</v>
      </c>
      <c r="AQ17">
        <v>1.9139999999999999</v>
      </c>
      <c r="AR17" t="s">
        <v>69</v>
      </c>
      <c r="AS17">
        <v>45</v>
      </c>
      <c r="AT17">
        <v>11</v>
      </c>
      <c r="AU17">
        <v>2.1329999999999998E-2</v>
      </c>
      <c r="AV17">
        <v>-3.7699999999999999E-3</v>
      </c>
      <c r="AW17">
        <v>8.4709999999999994E-2</v>
      </c>
      <c r="AX17">
        <v>-1.6330000000000001E-2</v>
      </c>
      <c r="AY17">
        <v>4.9399999999999999E-3</v>
      </c>
      <c r="AZ17">
        <v>-6.6E-4</v>
      </c>
      <c r="BA17">
        <v>5.8310000000000001E-2</v>
      </c>
      <c r="BB17">
        <v>1</v>
      </c>
      <c r="BC17" t="s">
        <v>70</v>
      </c>
      <c r="BD17">
        <v>0.88900000000000001</v>
      </c>
      <c r="BE17">
        <v>0.61699999999999999</v>
      </c>
      <c r="BF17" t="s">
        <v>71</v>
      </c>
      <c r="BG17">
        <v>0.139194139194139</v>
      </c>
      <c r="BI17">
        <v>56</v>
      </c>
      <c r="BJ17">
        <v>5.8310000000000001E-2</v>
      </c>
      <c r="BK17">
        <v>0.139194139194139</v>
      </c>
      <c r="BM17">
        <v>0.05</v>
      </c>
      <c r="BN17">
        <f>SUMIFS(BJ:BJ,BK:BK,"&lt;"&amp;BM18,BK:BK,"&gt;="&amp;BM17)</f>
        <v>9.3604800000000026</v>
      </c>
      <c r="BO17">
        <f>COUNTIFS(BK:BK,"&lt;"&amp;BM18,BK:BK,"&gt;="&amp;BM17)</f>
        <v>195</v>
      </c>
      <c r="BP17">
        <f t="shared" si="3"/>
        <v>4.8002461538461549E-2</v>
      </c>
      <c r="CG17" s="9"/>
      <c r="CH17" s="9"/>
      <c r="CI17" s="9"/>
      <c r="CJ17" s="9"/>
    </row>
    <row r="18" spans="1:88">
      <c r="A18">
        <v>41</v>
      </c>
      <c r="B18" t="s">
        <v>144</v>
      </c>
      <c r="D18" t="s">
        <v>60</v>
      </c>
      <c r="E18">
        <v>50087</v>
      </c>
      <c r="F18">
        <v>50644</v>
      </c>
      <c r="G18" t="s">
        <v>146</v>
      </c>
      <c r="H18">
        <v>186</v>
      </c>
      <c r="I18" t="s">
        <v>106</v>
      </c>
      <c r="J18">
        <v>4</v>
      </c>
      <c r="K18" t="str">
        <f>HYPERLINK("Gene41-zp_tree_all.dnd", "Gene41-tree")</f>
        <v>Gene41-tree</v>
      </c>
      <c r="L18">
        <v>0</v>
      </c>
      <c r="M18">
        <v>4</v>
      </c>
      <c r="N18">
        <v>0</v>
      </c>
      <c r="O18">
        <v>4</v>
      </c>
      <c r="P18">
        <v>1</v>
      </c>
      <c r="Q18" t="s">
        <v>66</v>
      </c>
      <c r="R18" t="s">
        <v>64</v>
      </c>
      <c r="S18" t="s">
        <v>66</v>
      </c>
      <c r="T18" t="s">
        <v>66</v>
      </c>
      <c r="U18">
        <v>1</v>
      </c>
      <c r="V18">
        <v>2</v>
      </c>
      <c r="W18">
        <v>7</v>
      </c>
      <c r="X18">
        <v>0.22222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2</v>
      </c>
      <c r="AG18">
        <v>7</v>
      </c>
      <c r="AH18">
        <v>0.22222</v>
      </c>
      <c r="AI18">
        <v>4</v>
      </c>
      <c r="AJ18">
        <v>1</v>
      </c>
      <c r="AK18">
        <v>23</v>
      </c>
      <c r="AL18">
        <v>8</v>
      </c>
      <c r="AM18">
        <v>2</v>
      </c>
      <c r="AN18">
        <v>1</v>
      </c>
      <c r="AO18" t="s">
        <v>147</v>
      </c>
      <c r="AP18" t="s">
        <v>148</v>
      </c>
      <c r="AQ18">
        <v>0.86399999999999999</v>
      </c>
      <c r="AR18" t="s">
        <v>69</v>
      </c>
      <c r="AS18">
        <v>25</v>
      </c>
      <c r="AT18">
        <v>9</v>
      </c>
      <c r="AU18">
        <v>3.0759999999999999E-2</v>
      </c>
      <c r="AV18">
        <v>-5.3699999999999998E-3</v>
      </c>
      <c r="AW18">
        <v>0.11516</v>
      </c>
      <c r="AX18">
        <v>-2.222E-2</v>
      </c>
      <c r="AY18">
        <v>1.0019999999999999E-2</v>
      </c>
      <c r="AZ18">
        <v>-1.6999999999999999E-3</v>
      </c>
      <c r="BA18">
        <v>8.702E-2</v>
      </c>
      <c r="BB18">
        <v>1</v>
      </c>
      <c r="BC18" t="s">
        <v>70</v>
      </c>
      <c r="BD18">
        <v>-0.47899999999999998</v>
      </c>
      <c r="BE18">
        <v>-0.76700000000000002</v>
      </c>
      <c r="BF18" t="s">
        <v>71</v>
      </c>
      <c r="BG18">
        <v>0.17374517374517301</v>
      </c>
      <c r="BI18">
        <v>34</v>
      </c>
      <c r="BJ18">
        <v>8.702E-2</v>
      </c>
      <c r="BK18">
        <v>0.17374517374517301</v>
      </c>
      <c r="BM18">
        <f>BM17+0.05</f>
        <v>0.1</v>
      </c>
      <c r="BN18">
        <f t="shared" ref="BN18:BN26" si="4">SUMIFS(BJ:BJ,BK:BK,"&lt;"&amp;BM19,BK:BK,"&gt;="&amp;BM18)</f>
        <v>9.2876399999999926</v>
      </c>
      <c r="BO18">
        <f t="shared" ref="BO18:BO27" si="5">COUNTIFS(BK:BK,"&lt;"&amp;BM19,BK:BK,"&gt;="&amp;BM18)</f>
        <v>225</v>
      </c>
      <c r="BP18">
        <f t="shared" si="3"/>
        <v>4.1278399999999965E-2</v>
      </c>
      <c r="CG18" s="9"/>
      <c r="CH18" s="9"/>
      <c r="CI18" s="9"/>
      <c r="CJ18" s="9"/>
    </row>
    <row r="19" spans="1:88">
      <c r="A19">
        <v>45</v>
      </c>
      <c r="B19" t="s">
        <v>152</v>
      </c>
      <c r="D19" t="s">
        <v>60</v>
      </c>
      <c r="E19">
        <v>53183</v>
      </c>
      <c r="F19">
        <v>53365</v>
      </c>
      <c r="G19" t="s">
        <v>154</v>
      </c>
      <c r="H19">
        <v>61</v>
      </c>
      <c r="I19" t="s">
        <v>63</v>
      </c>
      <c r="J19">
        <v>5</v>
      </c>
      <c r="K19" t="str">
        <f>HYPERLINK("Gene45-zp_tree_all.dnd", "Gene45-tree")</f>
        <v>Gene45-tree</v>
      </c>
      <c r="L19">
        <v>5</v>
      </c>
      <c r="M19">
        <v>0</v>
      </c>
      <c r="N19">
        <v>5</v>
      </c>
      <c r="O19">
        <v>0</v>
      </c>
      <c r="P19">
        <v>0</v>
      </c>
      <c r="Q19" t="s">
        <v>96</v>
      </c>
      <c r="R19" t="s">
        <v>66</v>
      </c>
      <c r="S19" t="s">
        <v>66</v>
      </c>
      <c r="T19" t="s">
        <v>66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3</v>
      </c>
      <c r="AJ19">
        <v>2</v>
      </c>
      <c r="AK19">
        <v>5</v>
      </c>
      <c r="AL19">
        <v>0</v>
      </c>
      <c r="AM19">
        <v>4</v>
      </c>
      <c r="AN19">
        <v>0</v>
      </c>
      <c r="AO19" t="s">
        <v>68</v>
      </c>
      <c r="AP19" t="s">
        <v>68</v>
      </c>
      <c r="AQ19">
        <v>0</v>
      </c>
      <c r="AR19" t="s">
        <v>69</v>
      </c>
      <c r="AS19">
        <v>9</v>
      </c>
      <c r="AT19">
        <v>0</v>
      </c>
      <c r="AU19">
        <v>2.4039999999999999E-2</v>
      </c>
      <c r="AV19">
        <v>-3.5599999999999998E-3</v>
      </c>
      <c r="AW19">
        <v>0.12255000000000001</v>
      </c>
      <c r="AX19">
        <v>-1.949E-2</v>
      </c>
      <c r="AY19">
        <v>0</v>
      </c>
      <c r="AZ19">
        <v>0</v>
      </c>
      <c r="BA19">
        <v>0</v>
      </c>
      <c r="BB19">
        <v>1</v>
      </c>
      <c r="BC19" t="s">
        <v>70</v>
      </c>
      <c r="BD19">
        <v>0.13200000000000001</v>
      </c>
      <c r="BE19">
        <v>0.13200000000000001</v>
      </c>
      <c r="BF19" t="s">
        <v>71</v>
      </c>
      <c r="BG19">
        <v>0.27058823529411702</v>
      </c>
      <c r="BI19">
        <v>9</v>
      </c>
      <c r="BJ19">
        <v>0</v>
      </c>
      <c r="BK19">
        <v>0.27058823529411702</v>
      </c>
      <c r="BM19">
        <f t="shared" ref="BM19:BM26" si="6">BM18+0.05</f>
        <v>0.15000000000000002</v>
      </c>
      <c r="BN19">
        <f t="shared" si="4"/>
        <v>7.7796300000000027</v>
      </c>
      <c r="BO19">
        <f t="shared" si="5"/>
        <v>131</v>
      </c>
      <c r="BP19">
        <f t="shared" si="3"/>
        <v>5.9386488549618338E-2</v>
      </c>
      <c r="CG19" s="9"/>
      <c r="CH19" s="9"/>
      <c r="CI19" s="9"/>
      <c r="CJ19" s="9"/>
    </row>
    <row r="20" spans="1:88">
      <c r="A20">
        <v>46</v>
      </c>
      <c r="B20" t="s">
        <v>155</v>
      </c>
      <c r="D20" t="s">
        <v>60</v>
      </c>
      <c r="E20">
        <v>53516</v>
      </c>
      <c r="F20">
        <v>54382</v>
      </c>
      <c r="G20" t="s">
        <v>157</v>
      </c>
      <c r="H20">
        <v>289</v>
      </c>
      <c r="I20" t="s">
        <v>63</v>
      </c>
      <c r="J20">
        <v>5</v>
      </c>
      <c r="K20" t="str">
        <f>HYPERLINK("Gene46-zp_tree_all.dnd", "Gene46-tree")</f>
        <v>Gene46-tree</v>
      </c>
      <c r="L20">
        <v>5</v>
      </c>
      <c r="M20">
        <v>0</v>
      </c>
      <c r="N20">
        <v>5</v>
      </c>
      <c r="O20">
        <v>0</v>
      </c>
      <c r="P20">
        <v>0</v>
      </c>
      <c r="Q20" t="s">
        <v>96</v>
      </c>
      <c r="R20" t="s">
        <v>66</v>
      </c>
      <c r="S20" t="s">
        <v>66</v>
      </c>
      <c r="T20" t="s">
        <v>66</v>
      </c>
      <c r="U20">
        <v>0</v>
      </c>
      <c r="V20">
        <v>0</v>
      </c>
      <c r="W20">
        <v>5</v>
      </c>
      <c r="X20">
        <v>0</v>
      </c>
      <c r="Y20">
        <v>0</v>
      </c>
      <c r="Z20">
        <v>0</v>
      </c>
      <c r="AA20">
        <v>0</v>
      </c>
      <c r="AB20">
        <v>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5</v>
      </c>
      <c r="AJ20">
        <v>2</v>
      </c>
      <c r="AK20">
        <v>27</v>
      </c>
      <c r="AL20">
        <v>0</v>
      </c>
      <c r="AM20">
        <v>28</v>
      </c>
      <c r="AN20">
        <v>6</v>
      </c>
      <c r="AO20" t="s">
        <v>68</v>
      </c>
      <c r="AP20" t="s">
        <v>158</v>
      </c>
      <c r="AQ20">
        <v>0.92100000000000004</v>
      </c>
      <c r="AR20" t="s">
        <v>69</v>
      </c>
      <c r="AS20">
        <v>55</v>
      </c>
      <c r="AT20">
        <v>6</v>
      </c>
      <c r="AU20">
        <v>3.3790000000000001E-2</v>
      </c>
      <c r="AV20">
        <v>-5.3200000000000001E-3</v>
      </c>
      <c r="AW20">
        <v>0.14296</v>
      </c>
      <c r="AX20">
        <v>-2.172E-2</v>
      </c>
      <c r="AY20">
        <v>5.4400000000000004E-3</v>
      </c>
      <c r="AZ20">
        <v>-1.2999999999999999E-3</v>
      </c>
      <c r="BA20">
        <v>3.807E-2</v>
      </c>
      <c r="BB20">
        <v>1</v>
      </c>
      <c r="BC20" t="s">
        <v>70</v>
      </c>
      <c r="BD20">
        <v>0.83</v>
      </c>
      <c r="BE20">
        <v>0.28599999999999998</v>
      </c>
      <c r="BF20" t="s">
        <v>71</v>
      </c>
      <c r="BG20">
        <v>0.17224880382775101</v>
      </c>
      <c r="BI20">
        <v>61</v>
      </c>
      <c r="BJ20">
        <v>3.807E-2</v>
      </c>
      <c r="BK20">
        <v>0.17224880382775101</v>
      </c>
      <c r="BM20">
        <f t="shared" si="6"/>
        <v>0.2</v>
      </c>
      <c r="BN20">
        <f t="shared" si="4"/>
        <v>1.8447</v>
      </c>
      <c r="BO20">
        <f t="shared" si="5"/>
        <v>40</v>
      </c>
      <c r="BP20">
        <f t="shared" si="3"/>
        <v>4.6117499999999999E-2</v>
      </c>
      <c r="CJ20" s="9"/>
    </row>
    <row r="21" spans="1:88">
      <c r="A21">
        <v>47</v>
      </c>
      <c r="B21" t="s">
        <v>159</v>
      </c>
      <c r="D21" t="s">
        <v>60</v>
      </c>
      <c r="E21">
        <v>54441</v>
      </c>
      <c r="F21">
        <v>55295</v>
      </c>
      <c r="G21" t="s">
        <v>161</v>
      </c>
      <c r="H21">
        <v>285</v>
      </c>
      <c r="I21" t="s">
        <v>63</v>
      </c>
      <c r="J21">
        <v>5</v>
      </c>
      <c r="K21" t="str">
        <f>HYPERLINK("Gene47-zp_tree_all.dnd", "Gene47-tree")</f>
        <v>Gene47-tree</v>
      </c>
      <c r="L21">
        <v>5</v>
      </c>
      <c r="M21">
        <v>0</v>
      </c>
      <c r="N21">
        <v>5</v>
      </c>
      <c r="O21">
        <v>0</v>
      </c>
      <c r="P21">
        <v>0</v>
      </c>
      <c r="Q21" t="s">
        <v>96</v>
      </c>
      <c r="R21" t="s">
        <v>66</v>
      </c>
      <c r="S21" t="s">
        <v>66</v>
      </c>
      <c r="T21" t="s">
        <v>66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2</v>
      </c>
      <c r="AK21">
        <v>13</v>
      </c>
      <c r="AL21">
        <v>0</v>
      </c>
      <c r="AM21">
        <v>22</v>
      </c>
      <c r="AN21">
        <v>0</v>
      </c>
      <c r="AO21" t="s">
        <v>68</v>
      </c>
      <c r="AP21" t="s">
        <v>68</v>
      </c>
      <c r="AQ21">
        <v>0</v>
      </c>
      <c r="AR21" t="s">
        <v>69</v>
      </c>
      <c r="AS21">
        <v>35</v>
      </c>
      <c r="AT21">
        <v>0</v>
      </c>
      <c r="AU21">
        <v>2.1520000000000001E-2</v>
      </c>
      <c r="AV21">
        <v>-4.0299999999999997E-3</v>
      </c>
      <c r="AW21">
        <v>9.869E-2</v>
      </c>
      <c r="AX21">
        <v>-1.8970000000000001E-2</v>
      </c>
      <c r="AY21">
        <v>0</v>
      </c>
      <c r="AZ21">
        <v>0</v>
      </c>
      <c r="BA21">
        <v>0</v>
      </c>
      <c r="BB21">
        <v>1</v>
      </c>
      <c r="BC21" t="s">
        <v>70</v>
      </c>
      <c r="BD21">
        <v>0.71399999999999997</v>
      </c>
      <c r="BE21">
        <v>0.71399999999999997</v>
      </c>
      <c r="BF21" t="s">
        <v>71</v>
      </c>
      <c r="BG21">
        <v>8.7431693989070997E-2</v>
      </c>
      <c r="BI21">
        <v>35</v>
      </c>
      <c r="BJ21">
        <v>0</v>
      </c>
      <c r="BK21">
        <v>8.7431693989070997E-2</v>
      </c>
      <c r="BM21">
        <f t="shared" si="6"/>
        <v>0.25</v>
      </c>
      <c r="BN21">
        <f t="shared" si="4"/>
        <v>0.71387</v>
      </c>
      <c r="BO21">
        <f t="shared" si="5"/>
        <v>12</v>
      </c>
      <c r="BP21">
        <f t="shared" si="3"/>
        <v>5.9489166666666669E-2</v>
      </c>
    </row>
    <row r="22" spans="1:88">
      <c r="A22">
        <v>48</v>
      </c>
      <c r="B22" t="s">
        <v>162</v>
      </c>
      <c r="D22" t="s">
        <v>60</v>
      </c>
      <c r="E22">
        <v>55295</v>
      </c>
      <c r="F22">
        <v>55669</v>
      </c>
      <c r="G22" t="s">
        <v>164</v>
      </c>
      <c r="H22">
        <v>125</v>
      </c>
      <c r="I22" t="s">
        <v>106</v>
      </c>
      <c r="J22">
        <v>4</v>
      </c>
      <c r="K22" t="str">
        <f>HYPERLINK("Gene48-zp_tree_all.dnd", "Gene48-tree")</f>
        <v>Gene48-tree</v>
      </c>
      <c r="L22">
        <v>2</v>
      </c>
      <c r="M22">
        <v>2</v>
      </c>
      <c r="N22">
        <v>2</v>
      </c>
      <c r="O22">
        <v>2</v>
      </c>
      <c r="P22">
        <v>0.5</v>
      </c>
      <c r="Q22" t="s">
        <v>124</v>
      </c>
      <c r="R22" t="s">
        <v>124</v>
      </c>
      <c r="S22" t="s">
        <v>66</v>
      </c>
      <c r="T22" t="s">
        <v>66</v>
      </c>
      <c r="U22">
        <v>0</v>
      </c>
      <c r="V22">
        <v>0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4</v>
      </c>
      <c r="AJ22">
        <v>1</v>
      </c>
      <c r="AK22">
        <v>21</v>
      </c>
      <c r="AL22">
        <v>2</v>
      </c>
      <c r="AM22">
        <v>2</v>
      </c>
      <c r="AN22">
        <v>0</v>
      </c>
      <c r="AO22" t="s">
        <v>165</v>
      </c>
      <c r="AP22" t="s">
        <v>68</v>
      </c>
      <c r="AQ22">
        <v>0.86799999999999999</v>
      </c>
      <c r="AR22" t="s">
        <v>69</v>
      </c>
      <c r="AS22">
        <v>23</v>
      </c>
      <c r="AT22">
        <v>2</v>
      </c>
      <c r="AU22">
        <v>3.422E-2</v>
      </c>
      <c r="AV22">
        <v>-7.6299999999999996E-3</v>
      </c>
      <c r="AW22">
        <v>0.15805</v>
      </c>
      <c r="AX22">
        <v>-3.9530000000000003E-2</v>
      </c>
      <c r="AY22">
        <v>3.47E-3</v>
      </c>
      <c r="AZ22">
        <v>-8.1999999999999998E-4</v>
      </c>
      <c r="BA22">
        <v>2.197E-2</v>
      </c>
      <c r="BB22">
        <v>1</v>
      </c>
      <c r="BC22" t="s">
        <v>70</v>
      </c>
      <c r="BD22">
        <v>-0.60699999999999998</v>
      </c>
      <c r="BE22">
        <v>-0.60699999999999998</v>
      </c>
      <c r="BF22" t="s">
        <v>71</v>
      </c>
      <c r="BG22">
        <v>0.101796407185628</v>
      </c>
      <c r="BI22">
        <v>25</v>
      </c>
      <c r="BJ22">
        <v>2.197E-2</v>
      </c>
      <c r="BK22">
        <v>0.101796407185628</v>
      </c>
      <c r="BM22">
        <f t="shared" si="6"/>
        <v>0.3</v>
      </c>
      <c r="BN22">
        <f t="shared" si="4"/>
        <v>0.65453000000000006</v>
      </c>
      <c r="BO22">
        <f t="shared" si="5"/>
        <v>3</v>
      </c>
      <c r="BP22">
        <f t="shared" si="3"/>
        <v>0.21817666666666669</v>
      </c>
    </row>
    <row r="23" spans="1:88">
      <c r="A23">
        <v>49</v>
      </c>
      <c r="B23" t="s">
        <v>166</v>
      </c>
      <c r="D23" t="s">
        <v>60</v>
      </c>
      <c r="E23">
        <v>55866</v>
      </c>
      <c r="F23">
        <v>56156</v>
      </c>
      <c r="G23" t="s">
        <v>168</v>
      </c>
      <c r="H23">
        <v>97</v>
      </c>
      <c r="I23" t="s">
        <v>63</v>
      </c>
      <c r="J23">
        <v>5</v>
      </c>
      <c r="K23" t="str">
        <f>HYPERLINK("Gene49-zp_tree_all.dnd", "Gene49-tree")</f>
        <v>Gene49-tree</v>
      </c>
      <c r="L23">
        <v>4</v>
      </c>
      <c r="M23">
        <v>1</v>
      </c>
      <c r="N23">
        <v>3</v>
      </c>
      <c r="O23">
        <v>1</v>
      </c>
      <c r="P23">
        <v>0.25</v>
      </c>
      <c r="Q23" t="s">
        <v>112</v>
      </c>
      <c r="R23" t="s">
        <v>65</v>
      </c>
      <c r="S23" t="s">
        <v>66</v>
      </c>
      <c r="T23" t="s">
        <v>66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2</v>
      </c>
      <c r="AJ23">
        <v>1</v>
      </c>
      <c r="AK23">
        <v>1</v>
      </c>
      <c r="AL23">
        <v>1</v>
      </c>
      <c r="AM23">
        <v>2</v>
      </c>
      <c r="AN23">
        <v>0</v>
      </c>
      <c r="AO23" t="s">
        <v>169</v>
      </c>
      <c r="AP23" t="s">
        <v>68</v>
      </c>
      <c r="AQ23">
        <v>0.70699999999999996</v>
      </c>
      <c r="AR23" t="s">
        <v>69</v>
      </c>
      <c r="AS23">
        <v>3</v>
      </c>
      <c r="AT23">
        <v>1</v>
      </c>
      <c r="AU23">
        <v>8.0199999999999994E-3</v>
      </c>
      <c r="AV23">
        <v>-1.5499999999999999E-3</v>
      </c>
      <c r="AW23">
        <v>2.7490000000000001E-2</v>
      </c>
      <c r="AX23">
        <v>-4.7200000000000002E-3</v>
      </c>
      <c r="AY23">
        <v>2.2499999999999998E-3</v>
      </c>
      <c r="AZ23">
        <v>-9.2000000000000003E-4</v>
      </c>
      <c r="BA23">
        <v>8.1920000000000007E-2</v>
      </c>
      <c r="BB23">
        <v>1</v>
      </c>
      <c r="BC23" t="s">
        <v>70</v>
      </c>
      <c r="BD23">
        <v>0.27300000000000002</v>
      </c>
      <c r="BE23">
        <v>0.27300000000000002</v>
      </c>
      <c r="BF23" t="s">
        <v>71</v>
      </c>
      <c r="BG23">
        <v>0.13636363636363599</v>
      </c>
      <c r="BI23">
        <v>4</v>
      </c>
      <c r="BJ23">
        <v>8.1920000000000007E-2</v>
      </c>
      <c r="BK23">
        <v>0.13636363636363599</v>
      </c>
      <c r="BM23">
        <f t="shared" si="6"/>
        <v>0.35</v>
      </c>
      <c r="BN23">
        <f t="shared" si="4"/>
        <v>0.13913</v>
      </c>
      <c r="BO23">
        <f t="shared" si="5"/>
        <v>2</v>
      </c>
      <c r="BP23">
        <f t="shared" si="3"/>
        <v>6.9565000000000002E-2</v>
      </c>
    </row>
    <row r="24" spans="1:88">
      <c r="A24">
        <v>50</v>
      </c>
      <c r="B24" t="s">
        <v>170</v>
      </c>
      <c r="D24" t="s">
        <v>60</v>
      </c>
      <c r="E24">
        <v>56352</v>
      </c>
      <c r="F24">
        <v>57719</v>
      </c>
      <c r="G24" t="s">
        <v>172</v>
      </c>
      <c r="H24">
        <v>456</v>
      </c>
      <c r="I24" t="s">
        <v>63</v>
      </c>
      <c r="J24">
        <v>5</v>
      </c>
      <c r="K24" t="str">
        <f>HYPERLINK("Gene50-zp_tree_all.dnd", "Gene50-tree")</f>
        <v>Gene50-tree</v>
      </c>
      <c r="L24">
        <v>1</v>
      </c>
      <c r="M24">
        <v>4</v>
      </c>
      <c r="N24">
        <v>1</v>
      </c>
      <c r="O24">
        <v>4</v>
      </c>
      <c r="P24">
        <v>0.8</v>
      </c>
      <c r="Q24" t="s">
        <v>65</v>
      </c>
      <c r="R24" t="s">
        <v>64</v>
      </c>
      <c r="S24" t="s">
        <v>66</v>
      </c>
      <c r="T24" t="s">
        <v>66</v>
      </c>
      <c r="U24">
        <v>0</v>
      </c>
      <c r="V24">
        <v>0</v>
      </c>
      <c r="W24">
        <v>8</v>
      </c>
      <c r="X24">
        <v>0</v>
      </c>
      <c r="Y24">
        <v>0</v>
      </c>
      <c r="Z24">
        <v>0</v>
      </c>
      <c r="AA24">
        <v>0</v>
      </c>
      <c r="AB24">
        <v>4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0</v>
      </c>
      <c r="AI24">
        <v>5</v>
      </c>
      <c r="AJ24">
        <v>2</v>
      </c>
      <c r="AK24">
        <v>24</v>
      </c>
      <c r="AL24">
        <v>4</v>
      </c>
      <c r="AM24">
        <v>37</v>
      </c>
      <c r="AN24">
        <v>4</v>
      </c>
      <c r="AO24" t="s">
        <v>173</v>
      </c>
      <c r="AP24" t="s">
        <v>174</v>
      </c>
      <c r="AQ24">
        <v>0.77400000000000002</v>
      </c>
      <c r="AR24" t="s">
        <v>69</v>
      </c>
      <c r="AS24">
        <v>61</v>
      </c>
      <c r="AT24">
        <v>8</v>
      </c>
      <c r="AU24">
        <v>2.564E-2</v>
      </c>
      <c r="AV24">
        <v>-4.1999999999999997E-3</v>
      </c>
      <c r="AW24">
        <v>0.10789</v>
      </c>
      <c r="AX24">
        <v>-1.9140000000000001E-2</v>
      </c>
      <c r="AY24">
        <v>3.82E-3</v>
      </c>
      <c r="AZ24">
        <v>-4.8999999999999998E-4</v>
      </c>
      <c r="BA24">
        <v>3.542E-2</v>
      </c>
      <c r="BB24">
        <v>1</v>
      </c>
      <c r="BC24" t="s">
        <v>70</v>
      </c>
      <c r="BD24">
        <v>0.79400000000000004</v>
      </c>
      <c r="BE24">
        <v>0.60199999999999998</v>
      </c>
      <c r="BF24" t="s">
        <v>71</v>
      </c>
      <c r="BG24">
        <v>0.16554054054053999</v>
      </c>
      <c r="BI24">
        <v>69</v>
      </c>
      <c r="BJ24">
        <v>3.542E-2</v>
      </c>
      <c r="BK24">
        <v>0.16554054054053999</v>
      </c>
      <c r="BM24">
        <f t="shared" si="6"/>
        <v>0.39999999999999997</v>
      </c>
      <c r="BN24">
        <f t="shared" si="4"/>
        <v>0</v>
      </c>
      <c r="BO24">
        <f t="shared" si="5"/>
        <v>0</v>
      </c>
    </row>
    <row r="25" spans="1:88">
      <c r="A25">
        <v>51</v>
      </c>
      <c r="B25" t="s">
        <v>175</v>
      </c>
      <c r="D25" t="s">
        <v>60</v>
      </c>
      <c r="E25">
        <v>57745</v>
      </c>
      <c r="F25">
        <v>58695</v>
      </c>
      <c r="G25" t="s">
        <v>177</v>
      </c>
      <c r="H25">
        <v>317</v>
      </c>
      <c r="I25" t="s">
        <v>63</v>
      </c>
      <c r="J25">
        <v>5</v>
      </c>
      <c r="K25" t="str">
        <f>HYPERLINK("Gene51-zp_tree_all.dnd", "Gene51-tree")</f>
        <v>Gene51-tree</v>
      </c>
      <c r="L25">
        <v>5</v>
      </c>
      <c r="M25">
        <v>0</v>
      </c>
      <c r="N25">
        <v>4</v>
      </c>
      <c r="O25">
        <v>0</v>
      </c>
      <c r="P25">
        <v>0</v>
      </c>
      <c r="Q25" t="s">
        <v>135</v>
      </c>
      <c r="R25" t="s">
        <v>66</v>
      </c>
      <c r="S25" t="s">
        <v>66</v>
      </c>
      <c r="T25" t="s">
        <v>66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</v>
      </c>
      <c r="AJ25">
        <v>1</v>
      </c>
      <c r="AK25">
        <v>20</v>
      </c>
      <c r="AL25">
        <v>0</v>
      </c>
      <c r="AM25">
        <v>16</v>
      </c>
      <c r="AN25">
        <v>0</v>
      </c>
      <c r="AO25" t="s">
        <v>68</v>
      </c>
      <c r="AP25" t="s">
        <v>68</v>
      </c>
      <c r="AQ25">
        <v>0</v>
      </c>
      <c r="AR25" t="s">
        <v>69</v>
      </c>
      <c r="AS25">
        <v>36</v>
      </c>
      <c r="AT25">
        <v>0</v>
      </c>
      <c r="AU25">
        <v>2.138E-2</v>
      </c>
      <c r="AV25">
        <v>-3.29E-3</v>
      </c>
      <c r="AW25">
        <v>9.7110000000000002E-2</v>
      </c>
      <c r="AX25">
        <v>-1.5440000000000001E-2</v>
      </c>
      <c r="AY25">
        <v>0</v>
      </c>
      <c r="AZ25">
        <v>0</v>
      </c>
      <c r="BA25">
        <v>0</v>
      </c>
      <c r="BB25">
        <v>1</v>
      </c>
      <c r="BC25" t="s">
        <v>70</v>
      </c>
      <c r="BD25">
        <v>0.44700000000000001</v>
      </c>
      <c r="BE25">
        <v>0.26800000000000002</v>
      </c>
      <c r="BF25" t="s">
        <v>71</v>
      </c>
      <c r="BG25">
        <v>4.1769041769041698E-2</v>
      </c>
      <c r="BI25">
        <v>36</v>
      </c>
      <c r="BJ25">
        <v>0</v>
      </c>
      <c r="BK25">
        <v>4.1769041769041698E-2</v>
      </c>
      <c r="BM25">
        <f t="shared" si="6"/>
        <v>0.44999999999999996</v>
      </c>
      <c r="BN25">
        <f t="shared" si="4"/>
        <v>0</v>
      </c>
      <c r="BO25">
        <f t="shared" si="5"/>
        <v>0</v>
      </c>
    </row>
    <row r="26" spans="1:88">
      <c r="A26">
        <v>53</v>
      </c>
      <c r="B26" t="s">
        <v>178</v>
      </c>
      <c r="D26" t="s">
        <v>60</v>
      </c>
      <c r="E26">
        <v>59504</v>
      </c>
      <c r="F26">
        <v>60067</v>
      </c>
      <c r="G26" t="s">
        <v>180</v>
      </c>
      <c r="H26">
        <v>188</v>
      </c>
      <c r="I26" t="s">
        <v>63</v>
      </c>
      <c r="J26">
        <v>5</v>
      </c>
      <c r="K26" t="str">
        <f>HYPERLINK("Gene53-zp_tree_all.dnd", "Gene53-tree")</f>
        <v>Gene53-tree</v>
      </c>
      <c r="L26">
        <v>4</v>
      </c>
      <c r="M26">
        <v>1</v>
      </c>
      <c r="N26">
        <v>4</v>
      </c>
      <c r="O26">
        <v>1</v>
      </c>
      <c r="P26">
        <v>0.2</v>
      </c>
      <c r="Q26" t="s">
        <v>64</v>
      </c>
      <c r="R26" t="s">
        <v>65</v>
      </c>
      <c r="S26" t="s">
        <v>66</v>
      </c>
      <c r="T26" t="s">
        <v>66</v>
      </c>
      <c r="U26">
        <v>0</v>
      </c>
      <c r="V26">
        <v>0</v>
      </c>
      <c r="W26">
        <v>7</v>
      </c>
      <c r="X26">
        <v>0</v>
      </c>
      <c r="Y26">
        <v>0</v>
      </c>
      <c r="Z26">
        <v>0</v>
      </c>
      <c r="AA26">
        <v>0</v>
      </c>
      <c r="AB26">
        <v>4</v>
      </c>
      <c r="AC26">
        <v>0</v>
      </c>
      <c r="AD26">
        <v>0</v>
      </c>
      <c r="AE26">
        <v>0</v>
      </c>
      <c r="AF26">
        <v>0</v>
      </c>
      <c r="AG26">
        <v>3</v>
      </c>
      <c r="AH26">
        <v>0</v>
      </c>
      <c r="AI26">
        <v>4</v>
      </c>
      <c r="AJ26">
        <v>1</v>
      </c>
      <c r="AK26">
        <v>17</v>
      </c>
      <c r="AL26">
        <v>3</v>
      </c>
      <c r="AM26">
        <v>13</v>
      </c>
      <c r="AN26">
        <v>4</v>
      </c>
      <c r="AO26" t="s">
        <v>181</v>
      </c>
      <c r="AP26" t="s">
        <v>182</v>
      </c>
      <c r="AQ26">
        <v>0.41799999999999998</v>
      </c>
      <c r="AR26" t="s">
        <v>69</v>
      </c>
      <c r="AS26">
        <v>30</v>
      </c>
      <c r="AT26">
        <v>7</v>
      </c>
      <c r="AU26">
        <v>3.227E-2</v>
      </c>
      <c r="AV26">
        <v>-5.7099999999999998E-3</v>
      </c>
      <c r="AW26">
        <v>0.12706000000000001</v>
      </c>
      <c r="AX26">
        <v>-2.2210000000000001E-2</v>
      </c>
      <c r="AY26">
        <v>8.3300000000000006E-3</v>
      </c>
      <c r="AZ26">
        <v>-2E-3</v>
      </c>
      <c r="BA26">
        <v>6.5559999999999993E-2</v>
      </c>
      <c r="BB26">
        <v>1</v>
      </c>
      <c r="BC26" t="s">
        <v>70</v>
      </c>
      <c r="BD26">
        <v>0.186</v>
      </c>
      <c r="BE26">
        <v>0.186</v>
      </c>
      <c r="BF26" t="s">
        <v>71</v>
      </c>
      <c r="BG26">
        <v>0.157894736842105</v>
      </c>
      <c r="BI26">
        <v>37</v>
      </c>
      <c r="BJ26">
        <v>6.5559999999999993E-2</v>
      </c>
      <c r="BK26">
        <v>0.157894736842105</v>
      </c>
      <c r="BM26">
        <f t="shared" si="6"/>
        <v>0.49999999999999994</v>
      </c>
      <c r="BN26">
        <f t="shared" si="4"/>
        <v>0</v>
      </c>
      <c r="BO26">
        <f t="shared" si="5"/>
        <v>0</v>
      </c>
    </row>
    <row r="27" spans="1:88">
      <c r="A27">
        <v>54</v>
      </c>
      <c r="B27" t="s">
        <v>183</v>
      </c>
      <c r="D27" t="s">
        <v>60</v>
      </c>
      <c r="E27">
        <v>60130</v>
      </c>
      <c r="F27">
        <v>60357</v>
      </c>
      <c r="G27" t="s">
        <v>74</v>
      </c>
      <c r="H27">
        <v>76</v>
      </c>
      <c r="I27" t="s">
        <v>63</v>
      </c>
      <c r="J27">
        <v>5</v>
      </c>
      <c r="K27" t="str">
        <f>HYPERLINK("Gene54-zp_tree_all.dnd", "Gene54-tree")</f>
        <v>Gene54-tree</v>
      </c>
      <c r="L27">
        <v>3</v>
      </c>
      <c r="M27">
        <v>2</v>
      </c>
      <c r="N27">
        <v>2</v>
      </c>
      <c r="O27">
        <v>2</v>
      </c>
      <c r="P27">
        <v>0.5</v>
      </c>
      <c r="Q27" t="s">
        <v>185</v>
      </c>
      <c r="R27" t="s">
        <v>124</v>
      </c>
      <c r="S27" t="s">
        <v>66</v>
      </c>
      <c r="T27" t="s">
        <v>66</v>
      </c>
      <c r="U27">
        <v>0</v>
      </c>
      <c r="V27">
        <v>0</v>
      </c>
      <c r="W27">
        <v>4</v>
      </c>
      <c r="X27">
        <v>0</v>
      </c>
      <c r="Y27">
        <v>0</v>
      </c>
      <c r="Z27">
        <v>0</v>
      </c>
      <c r="AA27">
        <v>0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0</v>
      </c>
      <c r="AI27">
        <v>3</v>
      </c>
      <c r="AJ27">
        <v>1</v>
      </c>
      <c r="AK27">
        <v>2</v>
      </c>
      <c r="AL27">
        <v>2</v>
      </c>
      <c r="AM27">
        <v>3</v>
      </c>
      <c r="AN27">
        <v>2</v>
      </c>
      <c r="AO27" t="s">
        <v>186</v>
      </c>
      <c r="AP27" t="s">
        <v>187</v>
      </c>
      <c r="AQ27">
        <v>0.60699999999999998</v>
      </c>
      <c r="AR27" t="s">
        <v>69</v>
      </c>
      <c r="AS27">
        <v>5</v>
      </c>
      <c r="AT27">
        <v>4</v>
      </c>
      <c r="AU27">
        <v>2.3390000000000001E-2</v>
      </c>
      <c r="AV27">
        <v>-4.47E-3</v>
      </c>
      <c r="AW27">
        <v>6.7040000000000002E-2</v>
      </c>
      <c r="AX27">
        <v>-1.431E-2</v>
      </c>
      <c r="AY27">
        <v>1.3050000000000001E-2</v>
      </c>
      <c r="AZ27">
        <v>-1.2899999999999999E-3</v>
      </c>
      <c r="BA27">
        <v>0.19470000000000001</v>
      </c>
      <c r="BB27">
        <v>0.93700000000000006</v>
      </c>
      <c r="BC27" t="s">
        <v>188</v>
      </c>
      <c r="BD27">
        <v>0.79</v>
      </c>
      <c r="BE27">
        <v>0.79</v>
      </c>
      <c r="BF27" t="s">
        <v>71</v>
      </c>
      <c r="BG27">
        <v>7.8651685393258397E-2</v>
      </c>
      <c r="BI27">
        <v>9</v>
      </c>
      <c r="BJ27">
        <v>0.19470000000000001</v>
      </c>
      <c r="BK27">
        <v>7.8651685393258397E-2</v>
      </c>
      <c r="BM27">
        <v>0.55000000000000004</v>
      </c>
      <c r="BO27">
        <f t="shared" si="5"/>
        <v>0</v>
      </c>
    </row>
    <row r="28" spans="1:88">
      <c r="A28">
        <v>61</v>
      </c>
      <c r="B28" t="s">
        <v>195</v>
      </c>
      <c r="D28" t="s">
        <v>60</v>
      </c>
      <c r="E28">
        <v>68515</v>
      </c>
      <c r="F28">
        <v>69147</v>
      </c>
      <c r="G28" t="s">
        <v>197</v>
      </c>
      <c r="H28">
        <v>211</v>
      </c>
      <c r="I28" t="s">
        <v>63</v>
      </c>
      <c r="J28">
        <v>5</v>
      </c>
      <c r="K28" t="str">
        <f>HYPERLINK("Gene61-zp_tree_all.dnd", "Gene61-tree")</f>
        <v>Gene61-tree</v>
      </c>
      <c r="L28">
        <v>0</v>
      </c>
      <c r="M28">
        <v>5</v>
      </c>
      <c r="N28">
        <v>0</v>
      </c>
      <c r="O28">
        <v>5</v>
      </c>
      <c r="P28">
        <v>1</v>
      </c>
      <c r="Q28" t="s">
        <v>66</v>
      </c>
      <c r="R28" t="s">
        <v>96</v>
      </c>
      <c r="S28" t="s">
        <v>66</v>
      </c>
      <c r="T28" t="s">
        <v>66</v>
      </c>
      <c r="U28">
        <v>1</v>
      </c>
      <c r="V28">
        <v>2</v>
      </c>
      <c r="W28">
        <v>15</v>
      </c>
      <c r="X28">
        <v>0.11765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</v>
      </c>
      <c r="AF28">
        <v>2</v>
      </c>
      <c r="AG28">
        <v>15</v>
      </c>
      <c r="AH28">
        <v>0.11765</v>
      </c>
      <c r="AI28">
        <v>4</v>
      </c>
      <c r="AJ28">
        <v>2</v>
      </c>
      <c r="AK28">
        <v>8</v>
      </c>
      <c r="AL28">
        <v>10</v>
      </c>
      <c r="AM28">
        <v>13</v>
      </c>
      <c r="AN28">
        <v>8</v>
      </c>
      <c r="AO28" t="s">
        <v>198</v>
      </c>
      <c r="AP28" t="s">
        <v>199</v>
      </c>
      <c r="AQ28">
        <v>0.82499999999999996</v>
      </c>
      <c r="AR28" t="s">
        <v>69</v>
      </c>
      <c r="AS28">
        <v>21</v>
      </c>
      <c r="AT28">
        <v>18</v>
      </c>
      <c r="AU28">
        <v>3.048E-2</v>
      </c>
      <c r="AV28">
        <v>-5.3600000000000002E-3</v>
      </c>
      <c r="AW28">
        <v>7.3450000000000001E-2</v>
      </c>
      <c r="AX28">
        <v>-1.4449999999999999E-2</v>
      </c>
      <c r="AY28">
        <v>1.8679999999999999E-2</v>
      </c>
      <c r="AZ28">
        <v>-3.0599999999999998E-3</v>
      </c>
      <c r="BA28">
        <v>0.25430999999999998</v>
      </c>
      <c r="BB28">
        <v>1</v>
      </c>
      <c r="BC28" t="s">
        <v>70</v>
      </c>
      <c r="BD28">
        <v>0.60899999999999999</v>
      </c>
      <c r="BE28">
        <v>0.186</v>
      </c>
      <c r="BF28" t="s">
        <v>71</v>
      </c>
      <c r="BG28">
        <v>4.0322580645161199E-2</v>
      </c>
      <c r="BI28">
        <v>39</v>
      </c>
      <c r="BJ28">
        <v>0.25430999999999998</v>
      </c>
      <c r="BK28">
        <v>4.0322580645161199E-2</v>
      </c>
    </row>
    <row r="29" spans="1:88">
      <c r="A29">
        <v>62</v>
      </c>
      <c r="B29" t="s">
        <v>200</v>
      </c>
      <c r="D29" t="s">
        <v>60</v>
      </c>
      <c r="E29">
        <v>69168</v>
      </c>
      <c r="F29">
        <v>69542</v>
      </c>
      <c r="G29" t="s">
        <v>202</v>
      </c>
      <c r="H29">
        <v>125</v>
      </c>
      <c r="I29" t="s">
        <v>63</v>
      </c>
      <c r="J29">
        <v>5</v>
      </c>
      <c r="K29" t="str">
        <f>HYPERLINK("Gene62-zp_tree_all.dnd", "Gene62-tree")</f>
        <v>Gene62-tree</v>
      </c>
      <c r="L29">
        <v>4</v>
      </c>
      <c r="M29">
        <v>1</v>
      </c>
      <c r="N29">
        <v>4</v>
      </c>
      <c r="O29">
        <v>1</v>
      </c>
      <c r="P29">
        <v>0.2</v>
      </c>
      <c r="Q29" t="s">
        <v>64</v>
      </c>
      <c r="R29" t="s">
        <v>65</v>
      </c>
      <c r="S29" t="s">
        <v>66</v>
      </c>
      <c r="T29" t="s">
        <v>66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4</v>
      </c>
      <c r="AJ29">
        <v>2</v>
      </c>
      <c r="AK29">
        <v>7</v>
      </c>
      <c r="AL29">
        <v>1</v>
      </c>
      <c r="AM29">
        <v>7</v>
      </c>
      <c r="AN29">
        <v>1</v>
      </c>
      <c r="AO29" t="s">
        <v>203</v>
      </c>
      <c r="AP29" t="s">
        <v>204</v>
      </c>
      <c r="AQ29">
        <v>1.6E-2</v>
      </c>
      <c r="AR29" t="s">
        <v>69</v>
      </c>
      <c r="AS29">
        <v>14</v>
      </c>
      <c r="AT29">
        <v>2</v>
      </c>
      <c r="AU29">
        <v>2.1329999999999998E-2</v>
      </c>
      <c r="AV29">
        <v>-3.4399999999999999E-3</v>
      </c>
      <c r="AW29">
        <v>9.3759999999999996E-2</v>
      </c>
      <c r="AX29">
        <v>-1.5140000000000001E-2</v>
      </c>
      <c r="AY29">
        <v>3.4099999999999998E-3</v>
      </c>
      <c r="AZ29">
        <v>-8.4000000000000003E-4</v>
      </c>
      <c r="BA29">
        <v>3.637E-2</v>
      </c>
      <c r="BB29">
        <v>1</v>
      </c>
      <c r="BC29" t="s">
        <v>70</v>
      </c>
      <c r="BD29">
        <v>0.30499999999999999</v>
      </c>
      <c r="BE29">
        <v>0.30499999999999999</v>
      </c>
      <c r="BF29" t="s">
        <v>71</v>
      </c>
      <c r="BG29">
        <v>0.165562913907284</v>
      </c>
      <c r="BI29">
        <v>16</v>
      </c>
      <c r="BJ29">
        <v>3.637E-2</v>
      </c>
      <c r="BK29">
        <v>0.165562913907284</v>
      </c>
    </row>
    <row r="30" spans="1:88">
      <c r="A30">
        <v>65</v>
      </c>
      <c r="B30" t="s">
        <v>207</v>
      </c>
      <c r="D30" t="s">
        <v>60</v>
      </c>
      <c r="E30">
        <v>73106</v>
      </c>
      <c r="F30">
        <v>73840</v>
      </c>
      <c r="G30" t="s">
        <v>74</v>
      </c>
      <c r="H30">
        <v>245</v>
      </c>
      <c r="I30" t="s">
        <v>63</v>
      </c>
      <c r="J30">
        <v>5</v>
      </c>
      <c r="K30" t="str">
        <f>HYPERLINK("Gene65-zp_tree_all.dnd", "Gene65-tree")</f>
        <v>Gene65-tree</v>
      </c>
      <c r="L30">
        <v>4</v>
      </c>
      <c r="M30">
        <v>1</v>
      </c>
      <c r="N30">
        <v>4</v>
      </c>
      <c r="O30">
        <v>1</v>
      </c>
      <c r="P30">
        <v>0.2</v>
      </c>
      <c r="Q30" t="s">
        <v>64</v>
      </c>
      <c r="R30" t="s">
        <v>65</v>
      </c>
      <c r="S30" t="s">
        <v>66</v>
      </c>
      <c r="T30" t="s">
        <v>66</v>
      </c>
      <c r="U30">
        <v>0</v>
      </c>
      <c r="V30">
        <v>0</v>
      </c>
      <c r="W30">
        <v>3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5</v>
      </c>
      <c r="AJ30">
        <v>2</v>
      </c>
      <c r="AK30">
        <v>21</v>
      </c>
      <c r="AL30">
        <v>1</v>
      </c>
      <c r="AM30">
        <v>21</v>
      </c>
      <c r="AN30">
        <v>2</v>
      </c>
      <c r="AO30" t="s">
        <v>209</v>
      </c>
      <c r="AP30" t="s">
        <v>210</v>
      </c>
      <c r="AQ30">
        <v>0.308</v>
      </c>
      <c r="AR30" t="s">
        <v>69</v>
      </c>
      <c r="AS30">
        <v>42</v>
      </c>
      <c r="AT30">
        <v>3</v>
      </c>
      <c r="AU30">
        <v>3.005E-2</v>
      </c>
      <c r="AV30">
        <v>-4.4999999999999997E-3</v>
      </c>
      <c r="AW30">
        <v>0.13563</v>
      </c>
      <c r="AX30">
        <v>-2.0639999999999999E-2</v>
      </c>
      <c r="AY30">
        <v>2.8400000000000001E-3</v>
      </c>
      <c r="AZ30">
        <v>-6.7000000000000002E-4</v>
      </c>
      <c r="BA30">
        <v>2.0969999999999999E-2</v>
      </c>
      <c r="BB30">
        <v>1</v>
      </c>
      <c r="BC30" t="s">
        <v>70</v>
      </c>
      <c r="BD30">
        <v>0.68700000000000006</v>
      </c>
      <c r="BE30">
        <v>0.314</v>
      </c>
      <c r="BF30" t="s">
        <v>71</v>
      </c>
      <c r="BG30">
        <v>0.16129032258064499</v>
      </c>
      <c r="BI30">
        <v>45</v>
      </c>
      <c r="BJ30">
        <v>2.0969999999999999E-2</v>
      </c>
      <c r="BK30">
        <v>0.16129032258064499</v>
      </c>
    </row>
    <row r="31" spans="1:88">
      <c r="A31">
        <v>67</v>
      </c>
      <c r="B31" t="s">
        <v>211</v>
      </c>
      <c r="D31" t="s">
        <v>60</v>
      </c>
      <c r="E31">
        <v>74929</v>
      </c>
      <c r="F31">
        <v>76344</v>
      </c>
      <c r="G31" t="s">
        <v>213</v>
      </c>
      <c r="H31">
        <v>472</v>
      </c>
      <c r="I31" t="s">
        <v>63</v>
      </c>
      <c r="J31">
        <v>5</v>
      </c>
      <c r="K31" t="str">
        <f>HYPERLINK("Gene67-zp_tree_all.dnd", "Gene67-tree")</f>
        <v>Gene67-tree</v>
      </c>
      <c r="L31">
        <v>0</v>
      </c>
      <c r="M31">
        <v>5</v>
      </c>
      <c r="N31">
        <v>0</v>
      </c>
      <c r="O31">
        <v>5</v>
      </c>
      <c r="P31">
        <v>1</v>
      </c>
      <c r="Q31" t="s">
        <v>66</v>
      </c>
      <c r="R31" t="s">
        <v>96</v>
      </c>
      <c r="S31" t="s">
        <v>66</v>
      </c>
      <c r="T31" t="s">
        <v>66</v>
      </c>
      <c r="U31">
        <v>2</v>
      </c>
      <c r="V31">
        <v>4</v>
      </c>
      <c r="W31">
        <v>25</v>
      </c>
      <c r="X31">
        <v>0.13793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2</v>
      </c>
      <c r="AF31">
        <v>4</v>
      </c>
      <c r="AG31">
        <v>25</v>
      </c>
      <c r="AH31">
        <v>0.13793</v>
      </c>
      <c r="AI31">
        <v>5</v>
      </c>
      <c r="AJ31">
        <v>2</v>
      </c>
      <c r="AK31">
        <v>21</v>
      </c>
      <c r="AL31">
        <v>19</v>
      </c>
      <c r="AM31">
        <v>33</v>
      </c>
      <c r="AN31">
        <v>10</v>
      </c>
      <c r="AO31" t="s">
        <v>214</v>
      </c>
      <c r="AP31" t="s">
        <v>215</v>
      </c>
      <c r="AQ31">
        <v>1.615</v>
      </c>
      <c r="AR31" t="s">
        <v>69</v>
      </c>
      <c r="AS31">
        <v>54</v>
      </c>
      <c r="AT31">
        <v>29</v>
      </c>
      <c r="AU31">
        <v>2.895E-2</v>
      </c>
      <c r="AV31">
        <v>-4.9399999999999999E-3</v>
      </c>
      <c r="AW31">
        <v>9.6420000000000006E-2</v>
      </c>
      <c r="AX31">
        <v>-1.873E-2</v>
      </c>
      <c r="AY31">
        <v>1.226E-2</v>
      </c>
      <c r="AZ31">
        <v>-1.66E-3</v>
      </c>
      <c r="BA31">
        <v>0.12712000000000001</v>
      </c>
      <c r="BB31">
        <v>1</v>
      </c>
      <c r="BC31" t="s">
        <v>70</v>
      </c>
      <c r="BD31">
        <v>0.61599999999999999</v>
      </c>
      <c r="BE31">
        <v>0.53600000000000003</v>
      </c>
      <c r="BF31" t="s">
        <v>71</v>
      </c>
      <c r="BG31">
        <v>8.7999999999999995E-2</v>
      </c>
      <c r="BI31">
        <v>83</v>
      </c>
      <c r="BJ31">
        <v>0.12712000000000001</v>
      </c>
      <c r="BK31">
        <v>8.7999999999999995E-2</v>
      </c>
    </row>
    <row r="32" spans="1:88">
      <c r="A32">
        <v>68</v>
      </c>
      <c r="B32" t="s">
        <v>216</v>
      </c>
      <c r="D32" t="s">
        <v>60</v>
      </c>
      <c r="E32">
        <v>76344</v>
      </c>
      <c r="F32">
        <v>76883</v>
      </c>
      <c r="G32" t="s">
        <v>218</v>
      </c>
      <c r="H32">
        <v>180</v>
      </c>
      <c r="I32" t="s">
        <v>63</v>
      </c>
      <c r="J32">
        <v>5</v>
      </c>
      <c r="K32" t="str">
        <f>HYPERLINK("Gene68-zp_tree_all.dnd", "Gene68-tree")</f>
        <v>Gene68-tree</v>
      </c>
      <c r="L32">
        <v>4</v>
      </c>
      <c r="M32">
        <v>1</v>
      </c>
      <c r="N32">
        <v>3</v>
      </c>
      <c r="O32">
        <v>1</v>
      </c>
      <c r="P32">
        <v>0.25</v>
      </c>
      <c r="Q32" t="s">
        <v>112</v>
      </c>
      <c r="R32" t="s">
        <v>65</v>
      </c>
      <c r="S32" t="s">
        <v>66</v>
      </c>
      <c r="T32" t="s">
        <v>66</v>
      </c>
      <c r="U32">
        <v>0</v>
      </c>
      <c r="V32">
        <v>0</v>
      </c>
      <c r="W32">
        <v>2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3</v>
      </c>
      <c r="AJ32">
        <v>1</v>
      </c>
      <c r="AK32">
        <v>3</v>
      </c>
      <c r="AL32">
        <v>1</v>
      </c>
      <c r="AM32">
        <v>5</v>
      </c>
      <c r="AN32">
        <v>1</v>
      </c>
      <c r="AO32" t="s">
        <v>219</v>
      </c>
      <c r="AP32" t="s">
        <v>220</v>
      </c>
      <c r="AQ32">
        <v>0.26700000000000002</v>
      </c>
      <c r="AR32" t="s">
        <v>69</v>
      </c>
      <c r="AS32">
        <v>8</v>
      </c>
      <c r="AT32">
        <v>2</v>
      </c>
      <c r="AU32">
        <v>1.111E-2</v>
      </c>
      <c r="AV32">
        <v>-2.2300000000000002E-3</v>
      </c>
      <c r="AW32">
        <v>4.1020000000000001E-2</v>
      </c>
      <c r="AX32">
        <v>-8.9499999999999996E-3</v>
      </c>
      <c r="AY32">
        <v>2.8E-3</v>
      </c>
      <c r="AZ32">
        <v>-4.8999999999999998E-4</v>
      </c>
      <c r="BA32">
        <v>6.8210000000000007E-2</v>
      </c>
      <c r="BB32">
        <v>0.98899999999999999</v>
      </c>
      <c r="BC32" t="s">
        <v>70</v>
      </c>
      <c r="BD32">
        <v>0.59599999999999997</v>
      </c>
      <c r="BE32">
        <v>0.59599999999999997</v>
      </c>
      <c r="BF32" t="s">
        <v>71</v>
      </c>
      <c r="BG32">
        <v>0.2018779342723</v>
      </c>
      <c r="BI32">
        <v>10</v>
      </c>
      <c r="BJ32">
        <v>6.8210000000000007E-2</v>
      </c>
      <c r="BK32">
        <v>0.2018779342723</v>
      </c>
    </row>
    <row r="33" spans="1:63">
      <c r="A33">
        <v>69</v>
      </c>
      <c r="B33" t="s">
        <v>221</v>
      </c>
      <c r="D33" t="s">
        <v>60</v>
      </c>
      <c r="E33">
        <v>76984</v>
      </c>
      <c r="F33">
        <v>78894</v>
      </c>
      <c r="G33" t="s">
        <v>223</v>
      </c>
      <c r="H33">
        <v>637</v>
      </c>
      <c r="I33" t="s">
        <v>63</v>
      </c>
      <c r="J33">
        <v>5</v>
      </c>
      <c r="K33" t="str">
        <f>HYPERLINK("Gene69-zp_tree_all.dnd", "Gene69-tree")</f>
        <v>Gene69-tree</v>
      </c>
      <c r="L33">
        <v>5</v>
      </c>
      <c r="M33">
        <v>0</v>
      </c>
      <c r="N33">
        <v>5</v>
      </c>
      <c r="O33">
        <v>0</v>
      </c>
      <c r="P33">
        <v>0</v>
      </c>
      <c r="Q33" t="s">
        <v>96</v>
      </c>
      <c r="R33" t="s">
        <v>66</v>
      </c>
      <c r="S33" t="s">
        <v>66</v>
      </c>
      <c r="T33" t="s">
        <v>66</v>
      </c>
      <c r="U33">
        <v>0</v>
      </c>
      <c r="V33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5</v>
      </c>
      <c r="AJ33">
        <v>2</v>
      </c>
      <c r="AK33">
        <v>32</v>
      </c>
      <c r="AL33">
        <v>0</v>
      </c>
      <c r="AM33">
        <v>56</v>
      </c>
      <c r="AN33">
        <v>2</v>
      </c>
      <c r="AO33" t="s">
        <v>68</v>
      </c>
      <c r="AP33" t="s">
        <v>224</v>
      </c>
      <c r="AQ33">
        <v>0.80700000000000005</v>
      </c>
      <c r="AR33" t="s">
        <v>69</v>
      </c>
      <c r="AS33">
        <v>88</v>
      </c>
      <c r="AT33">
        <v>2</v>
      </c>
      <c r="AU33">
        <v>2.376E-2</v>
      </c>
      <c r="AV33">
        <v>-4.5300000000000002E-3</v>
      </c>
      <c r="AW33">
        <v>0.1123</v>
      </c>
      <c r="AX33">
        <v>-2.1870000000000001E-2</v>
      </c>
      <c r="AY33">
        <v>8.0999999999999996E-4</v>
      </c>
      <c r="AZ33">
        <v>-1.9000000000000001E-4</v>
      </c>
      <c r="BA33">
        <v>7.2500000000000004E-3</v>
      </c>
      <c r="BB33">
        <v>1</v>
      </c>
      <c r="BC33" t="s">
        <v>70</v>
      </c>
      <c r="BD33">
        <v>1.1639999999999999</v>
      </c>
      <c r="BE33">
        <v>0.625</v>
      </c>
      <c r="BF33" t="s">
        <v>71</v>
      </c>
      <c r="BG33">
        <v>0.102272727272727</v>
      </c>
      <c r="BI33">
        <v>90</v>
      </c>
      <c r="BJ33">
        <v>7.2500000000000004E-3</v>
      </c>
      <c r="BK33">
        <v>0.102272727272727</v>
      </c>
    </row>
    <row r="34" spans="1:63">
      <c r="A34">
        <v>70</v>
      </c>
      <c r="B34" t="s">
        <v>225</v>
      </c>
      <c r="D34" t="s">
        <v>60</v>
      </c>
      <c r="E34">
        <v>79092</v>
      </c>
      <c r="F34">
        <v>79865</v>
      </c>
      <c r="G34" t="s">
        <v>227</v>
      </c>
      <c r="H34">
        <v>258</v>
      </c>
      <c r="I34" t="s">
        <v>63</v>
      </c>
      <c r="J34">
        <v>5</v>
      </c>
      <c r="K34" t="str">
        <f>HYPERLINK("Gene70-zp_tree_all.dnd", "Gene70-tree")</f>
        <v>Gene70-tree</v>
      </c>
      <c r="L34">
        <v>4</v>
      </c>
      <c r="M34">
        <v>1</v>
      </c>
      <c r="N34">
        <v>4</v>
      </c>
      <c r="O34">
        <v>1</v>
      </c>
      <c r="P34">
        <v>0.2</v>
      </c>
      <c r="Q34" t="s">
        <v>64</v>
      </c>
      <c r="R34" t="s">
        <v>65</v>
      </c>
      <c r="S34" t="s">
        <v>66</v>
      </c>
      <c r="T34" t="s">
        <v>66</v>
      </c>
      <c r="U34">
        <v>0</v>
      </c>
      <c r="V34">
        <v>0</v>
      </c>
      <c r="W34">
        <v>2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5</v>
      </c>
      <c r="AJ34">
        <v>2</v>
      </c>
      <c r="AK34">
        <v>18</v>
      </c>
      <c r="AL34">
        <v>1</v>
      </c>
      <c r="AM34">
        <v>24</v>
      </c>
      <c r="AN34">
        <v>1</v>
      </c>
      <c r="AO34" t="s">
        <v>228</v>
      </c>
      <c r="AP34" t="s">
        <v>229</v>
      </c>
      <c r="AQ34">
        <v>0.14399999999999999</v>
      </c>
      <c r="AR34" t="s">
        <v>69</v>
      </c>
      <c r="AS34">
        <v>42</v>
      </c>
      <c r="AT34">
        <v>2</v>
      </c>
      <c r="AU34">
        <v>2.8289999999999999E-2</v>
      </c>
      <c r="AV34">
        <v>-4.5900000000000003E-3</v>
      </c>
      <c r="AW34">
        <v>0.12892999999999999</v>
      </c>
      <c r="AX34">
        <v>-2.1749999999999999E-2</v>
      </c>
      <c r="AY34">
        <v>1.6900000000000001E-3</v>
      </c>
      <c r="AZ34">
        <v>-4.0999999999999999E-4</v>
      </c>
      <c r="BA34">
        <v>1.3089999999999999E-2</v>
      </c>
      <c r="BB34">
        <v>1</v>
      </c>
      <c r="BC34" t="s">
        <v>70</v>
      </c>
      <c r="BD34">
        <v>0.84899999999999998</v>
      </c>
      <c r="BE34">
        <v>0.65800000000000003</v>
      </c>
      <c r="BF34" t="s">
        <v>71</v>
      </c>
      <c r="BG34">
        <v>0.117117117117117</v>
      </c>
      <c r="BI34">
        <v>44</v>
      </c>
      <c r="BJ34">
        <v>1.3089999999999999E-2</v>
      </c>
      <c r="BK34">
        <v>0.117117117117117</v>
      </c>
    </row>
    <row r="35" spans="1:63">
      <c r="A35">
        <v>71</v>
      </c>
      <c r="B35" t="s">
        <v>230</v>
      </c>
      <c r="D35" t="s">
        <v>60</v>
      </c>
      <c r="E35">
        <v>79880</v>
      </c>
      <c r="F35">
        <v>80752</v>
      </c>
      <c r="G35" t="s">
        <v>232</v>
      </c>
      <c r="H35">
        <v>291</v>
      </c>
      <c r="I35" t="s">
        <v>63</v>
      </c>
      <c r="J35">
        <v>5</v>
      </c>
      <c r="K35" t="str">
        <f>HYPERLINK("Gene71-zp_tree_all.dnd", "Gene71-tree")</f>
        <v>Gene71-tree</v>
      </c>
      <c r="L35">
        <v>3</v>
      </c>
      <c r="M35">
        <v>2</v>
      </c>
      <c r="N35">
        <v>3</v>
      </c>
      <c r="O35">
        <v>2</v>
      </c>
      <c r="P35">
        <v>0.4</v>
      </c>
      <c r="Q35" t="s">
        <v>86</v>
      </c>
      <c r="R35" t="s">
        <v>124</v>
      </c>
      <c r="S35" t="s">
        <v>66</v>
      </c>
      <c r="T35" t="s">
        <v>66</v>
      </c>
      <c r="U35">
        <v>0</v>
      </c>
      <c r="V35">
        <v>0</v>
      </c>
      <c r="W35">
        <v>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5</v>
      </c>
      <c r="AH35">
        <v>0</v>
      </c>
      <c r="AI35">
        <v>5</v>
      </c>
      <c r="AJ35">
        <v>2</v>
      </c>
      <c r="AK35">
        <v>38</v>
      </c>
      <c r="AL35">
        <v>4</v>
      </c>
      <c r="AM35">
        <v>20</v>
      </c>
      <c r="AN35">
        <v>1</v>
      </c>
      <c r="AO35" t="s">
        <v>233</v>
      </c>
      <c r="AP35" t="s">
        <v>234</v>
      </c>
      <c r="AQ35">
        <v>0.42199999999999999</v>
      </c>
      <c r="AR35" t="s">
        <v>69</v>
      </c>
      <c r="AS35">
        <v>58</v>
      </c>
      <c r="AT35">
        <v>5</v>
      </c>
      <c r="AU35">
        <v>3.2419999999999997E-2</v>
      </c>
      <c r="AV35">
        <v>-4.7600000000000003E-3</v>
      </c>
      <c r="AW35">
        <v>0.14058000000000001</v>
      </c>
      <c r="AX35">
        <v>-2.102E-2</v>
      </c>
      <c r="AY35">
        <v>3.32E-3</v>
      </c>
      <c r="AZ35">
        <v>-7.9000000000000001E-4</v>
      </c>
      <c r="BA35">
        <v>2.3599999999999999E-2</v>
      </c>
      <c r="BB35">
        <v>1</v>
      </c>
      <c r="BC35" t="s">
        <v>70</v>
      </c>
      <c r="BD35">
        <v>0.125</v>
      </c>
      <c r="BE35">
        <v>-0.28199999999999997</v>
      </c>
      <c r="BF35" t="s">
        <v>71</v>
      </c>
      <c r="BG35">
        <v>0.15167095115681201</v>
      </c>
      <c r="BI35">
        <v>63</v>
      </c>
      <c r="BJ35">
        <v>2.3599999999999999E-2</v>
      </c>
      <c r="BK35">
        <v>0.15167095115681201</v>
      </c>
    </row>
    <row r="36" spans="1:63">
      <c r="A36">
        <v>73</v>
      </c>
      <c r="B36" t="s">
        <v>235</v>
      </c>
      <c r="D36" t="s">
        <v>60</v>
      </c>
      <c r="E36">
        <v>81771</v>
      </c>
      <c r="F36">
        <v>82694</v>
      </c>
      <c r="G36" t="s">
        <v>237</v>
      </c>
      <c r="H36">
        <v>308</v>
      </c>
      <c r="I36" t="s">
        <v>63</v>
      </c>
      <c r="J36">
        <v>5</v>
      </c>
      <c r="K36" t="str">
        <f>HYPERLINK("Gene73-zp_tree_all.dnd", "Gene73-tree")</f>
        <v>Gene73-tree</v>
      </c>
      <c r="L36">
        <v>2</v>
      </c>
      <c r="M36">
        <v>3</v>
      </c>
      <c r="N36">
        <v>2</v>
      </c>
      <c r="O36">
        <v>3</v>
      </c>
      <c r="P36">
        <v>0.6</v>
      </c>
      <c r="Q36" t="s">
        <v>124</v>
      </c>
      <c r="R36" t="s">
        <v>86</v>
      </c>
      <c r="S36" t="s">
        <v>66</v>
      </c>
      <c r="T36" t="s">
        <v>66</v>
      </c>
      <c r="U36">
        <v>0</v>
      </c>
      <c r="V36">
        <v>0</v>
      </c>
      <c r="W36">
        <v>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</v>
      </c>
      <c r="AH36">
        <v>0</v>
      </c>
      <c r="AI36">
        <v>5</v>
      </c>
      <c r="AJ36">
        <v>2</v>
      </c>
      <c r="AK36">
        <v>40</v>
      </c>
      <c r="AL36">
        <v>3</v>
      </c>
      <c r="AM36">
        <v>23</v>
      </c>
      <c r="AN36">
        <v>0</v>
      </c>
      <c r="AO36" t="s">
        <v>238</v>
      </c>
      <c r="AP36" t="s">
        <v>68</v>
      </c>
      <c r="AQ36">
        <v>2.57</v>
      </c>
      <c r="AR36" t="s">
        <v>239</v>
      </c>
      <c r="AS36">
        <v>63</v>
      </c>
      <c r="AT36">
        <v>3</v>
      </c>
      <c r="AU36">
        <v>3.2140000000000002E-2</v>
      </c>
      <c r="AV36">
        <v>-3.81E-3</v>
      </c>
      <c r="AW36">
        <v>0.14229</v>
      </c>
      <c r="AX36">
        <v>-1.8769999999999998E-2</v>
      </c>
      <c r="AY36">
        <v>1.7099999999999999E-3</v>
      </c>
      <c r="AZ36">
        <v>-2.7E-4</v>
      </c>
      <c r="BA36">
        <v>1.205E-2</v>
      </c>
      <c r="BB36">
        <v>1</v>
      </c>
      <c r="BC36" t="s">
        <v>70</v>
      </c>
      <c r="BD36">
        <v>0.109</v>
      </c>
      <c r="BE36">
        <v>-0.27900000000000003</v>
      </c>
      <c r="BF36" t="s">
        <v>71</v>
      </c>
      <c r="BG36">
        <v>8.5308056872037893E-2</v>
      </c>
      <c r="BI36">
        <v>66</v>
      </c>
      <c r="BJ36">
        <v>1.205E-2</v>
      </c>
      <c r="BK36">
        <v>8.5308056872037893E-2</v>
      </c>
    </row>
    <row r="37" spans="1:63">
      <c r="A37">
        <v>80</v>
      </c>
      <c r="B37" t="s">
        <v>240</v>
      </c>
      <c r="D37" t="s">
        <v>60</v>
      </c>
      <c r="E37">
        <v>87401</v>
      </c>
      <c r="F37">
        <v>87607</v>
      </c>
      <c r="G37" t="s">
        <v>242</v>
      </c>
      <c r="H37">
        <v>69</v>
      </c>
      <c r="I37" t="s">
        <v>63</v>
      </c>
      <c r="J37">
        <v>5</v>
      </c>
      <c r="K37" t="str">
        <f>HYPERLINK("Gene80-zp_tree_all.dnd", "Gene80-tree")</f>
        <v>Gene80-tree</v>
      </c>
      <c r="L37">
        <v>3</v>
      </c>
      <c r="M37">
        <v>2</v>
      </c>
      <c r="N37">
        <v>3</v>
      </c>
      <c r="O37">
        <v>1</v>
      </c>
      <c r="P37">
        <v>0.25</v>
      </c>
      <c r="Q37" t="s">
        <v>86</v>
      </c>
      <c r="R37" t="s">
        <v>65</v>
      </c>
      <c r="S37" t="s">
        <v>66</v>
      </c>
      <c r="T37" t="s">
        <v>66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3</v>
      </c>
      <c r="AJ37">
        <v>0</v>
      </c>
      <c r="AK37">
        <v>5</v>
      </c>
      <c r="AL37">
        <v>1</v>
      </c>
      <c r="AM37">
        <v>0</v>
      </c>
      <c r="AN37">
        <v>0</v>
      </c>
      <c r="AO37" t="s">
        <v>243</v>
      </c>
      <c r="AP37" t="s">
        <v>68</v>
      </c>
      <c r="AQ37">
        <v>0.74099999999999999</v>
      </c>
      <c r="AR37" t="s">
        <v>69</v>
      </c>
      <c r="AS37">
        <v>5</v>
      </c>
      <c r="AT37">
        <v>1</v>
      </c>
      <c r="AU37">
        <v>1.4489999999999999E-2</v>
      </c>
      <c r="AV37">
        <v>-3.4199999999999999E-3</v>
      </c>
      <c r="AW37">
        <v>5.3539999999999997E-2</v>
      </c>
      <c r="AX37">
        <v>-1.1299999999999999E-2</v>
      </c>
      <c r="AY37">
        <v>3.1700000000000001E-3</v>
      </c>
      <c r="AZ37">
        <v>-1.2999999999999999E-3</v>
      </c>
      <c r="BA37">
        <v>5.9299999999999999E-2</v>
      </c>
      <c r="BB37">
        <v>1</v>
      </c>
      <c r="BC37" t="s">
        <v>70</v>
      </c>
      <c r="BD37">
        <v>0.76400000000000001</v>
      </c>
      <c r="BE37">
        <v>0.76400000000000001</v>
      </c>
      <c r="BF37" t="s">
        <v>71</v>
      </c>
      <c r="BG37">
        <v>0.17777777777777701</v>
      </c>
      <c r="BI37">
        <v>6</v>
      </c>
      <c r="BJ37">
        <v>5.9299999999999999E-2</v>
      </c>
      <c r="BK37">
        <v>0.17777777777777701</v>
      </c>
    </row>
    <row r="38" spans="1:63">
      <c r="A38">
        <v>81</v>
      </c>
      <c r="B38" t="s">
        <v>244</v>
      </c>
      <c r="D38" t="s">
        <v>60</v>
      </c>
      <c r="E38">
        <v>87634</v>
      </c>
      <c r="F38">
        <v>88632</v>
      </c>
      <c r="G38" t="s">
        <v>246</v>
      </c>
      <c r="H38">
        <v>333</v>
      </c>
      <c r="I38" t="s">
        <v>85</v>
      </c>
      <c r="J38">
        <v>4</v>
      </c>
      <c r="K38" t="str">
        <f>HYPERLINK("Gene81-zp_tree_all.dnd", "Gene81-tree")</f>
        <v>Gene81-tree</v>
      </c>
      <c r="L38">
        <v>2</v>
      </c>
      <c r="M38">
        <v>2</v>
      </c>
      <c r="N38">
        <v>2</v>
      </c>
      <c r="O38">
        <v>2</v>
      </c>
      <c r="P38">
        <v>0.5</v>
      </c>
      <c r="Q38" t="s">
        <v>124</v>
      </c>
      <c r="R38" t="s">
        <v>124</v>
      </c>
      <c r="S38" t="s">
        <v>66</v>
      </c>
      <c r="T38" t="s">
        <v>66</v>
      </c>
      <c r="U38">
        <v>0</v>
      </c>
      <c r="V38">
        <v>0</v>
      </c>
      <c r="W38">
        <v>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</v>
      </c>
      <c r="AH38">
        <v>0</v>
      </c>
      <c r="AI38">
        <v>3</v>
      </c>
      <c r="AJ38">
        <v>1</v>
      </c>
      <c r="AK38">
        <v>41</v>
      </c>
      <c r="AL38">
        <v>5</v>
      </c>
      <c r="AM38">
        <v>1</v>
      </c>
      <c r="AN38">
        <v>0</v>
      </c>
      <c r="AO38" t="s">
        <v>247</v>
      </c>
      <c r="AP38" t="s">
        <v>68</v>
      </c>
      <c r="AQ38">
        <v>0.67900000000000005</v>
      </c>
      <c r="AR38" t="s">
        <v>69</v>
      </c>
      <c r="AS38">
        <v>42</v>
      </c>
      <c r="AT38">
        <v>5</v>
      </c>
      <c r="AU38">
        <v>2.376E-2</v>
      </c>
      <c r="AV38">
        <v>-8.0800000000000004E-3</v>
      </c>
      <c r="AW38">
        <v>0.10847</v>
      </c>
      <c r="AX38">
        <v>-3.8100000000000002E-2</v>
      </c>
      <c r="AY38">
        <v>3.2399999999999998E-3</v>
      </c>
      <c r="AZ38">
        <v>-1E-3</v>
      </c>
      <c r="BA38">
        <v>2.9819999999999999E-2</v>
      </c>
      <c r="BB38">
        <v>1</v>
      </c>
      <c r="BC38" t="s">
        <v>70</v>
      </c>
      <c r="BD38">
        <v>-0.79900000000000004</v>
      </c>
      <c r="BE38">
        <v>-0.79900000000000004</v>
      </c>
      <c r="BF38" t="s">
        <v>71</v>
      </c>
      <c r="BG38">
        <v>0.21603563474387499</v>
      </c>
      <c r="BI38">
        <v>47</v>
      </c>
      <c r="BJ38">
        <v>2.9819999999999999E-2</v>
      </c>
      <c r="BK38">
        <v>0.21603563474387499</v>
      </c>
    </row>
    <row r="39" spans="1:63">
      <c r="A39">
        <v>82</v>
      </c>
      <c r="B39" t="s">
        <v>248</v>
      </c>
      <c r="D39" t="s">
        <v>60</v>
      </c>
      <c r="E39">
        <v>88727</v>
      </c>
      <c r="F39">
        <v>90223</v>
      </c>
      <c r="G39" t="s">
        <v>250</v>
      </c>
      <c r="H39">
        <v>499</v>
      </c>
      <c r="I39" t="s">
        <v>63</v>
      </c>
      <c r="J39">
        <v>5</v>
      </c>
      <c r="K39" t="str">
        <f>HYPERLINK("Gene82-zp_tree_all.dnd", "Gene82-tree")</f>
        <v>Gene82-tree</v>
      </c>
      <c r="L39">
        <v>3</v>
      </c>
      <c r="M39">
        <v>2</v>
      </c>
      <c r="N39">
        <v>3</v>
      </c>
      <c r="O39">
        <v>2</v>
      </c>
      <c r="P39">
        <v>0.4</v>
      </c>
      <c r="Q39" t="s">
        <v>86</v>
      </c>
      <c r="R39" t="s">
        <v>124</v>
      </c>
      <c r="S39" t="s">
        <v>66</v>
      </c>
      <c r="T39" t="s">
        <v>66</v>
      </c>
      <c r="U39">
        <v>0</v>
      </c>
      <c r="V39">
        <v>0</v>
      </c>
      <c r="W39">
        <v>3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2</v>
      </c>
      <c r="AH39">
        <v>0</v>
      </c>
      <c r="AI39">
        <v>5</v>
      </c>
      <c r="AJ39">
        <v>2</v>
      </c>
      <c r="AK39">
        <v>39</v>
      </c>
      <c r="AL39">
        <v>2</v>
      </c>
      <c r="AM39">
        <v>48</v>
      </c>
      <c r="AN39">
        <v>1</v>
      </c>
      <c r="AO39" t="s">
        <v>251</v>
      </c>
      <c r="AP39" t="s">
        <v>252</v>
      </c>
      <c r="AQ39">
        <v>0.57599999999999996</v>
      </c>
      <c r="AR39" t="s">
        <v>69</v>
      </c>
      <c r="AS39">
        <v>87</v>
      </c>
      <c r="AT39">
        <v>3</v>
      </c>
      <c r="AU39">
        <v>2.9989999999999999E-2</v>
      </c>
      <c r="AV39">
        <v>-5.7000000000000002E-3</v>
      </c>
      <c r="AW39">
        <v>0.14990000000000001</v>
      </c>
      <c r="AX39">
        <v>-2.9700000000000001E-2</v>
      </c>
      <c r="AY39">
        <v>1.1999999999999999E-3</v>
      </c>
      <c r="AZ39">
        <v>-2.2000000000000001E-4</v>
      </c>
      <c r="BA39">
        <v>8.0300000000000007E-3</v>
      </c>
      <c r="BB39">
        <v>1</v>
      </c>
      <c r="BC39" t="s">
        <v>70</v>
      </c>
      <c r="BD39">
        <v>0.66600000000000004</v>
      </c>
      <c r="BE39">
        <v>0.39</v>
      </c>
      <c r="BF39" t="s">
        <v>71</v>
      </c>
      <c r="BG39">
        <v>2.4615384615384601E-2</v>
      </c>
      <c r="BI39">
        <v>90</v>
      </c>
      <c r="BJ39">
        <v>8.0300000000000007E-3</v>
      </c>
      <c r="BK39">
        <v>2.4615384615384601E-2</v>
      </c>
    </row>
    <row r="40" spans="1:63">
      <c r="A40">
        <v>83</v>
      </c>
      <c r="B40" t="s">
        <v>253</v>
      </c>
      <c r="D40" t="s">
        <v>60</v>
      </c>
      <c r="E40">
        <v>101449</v>
      </c>
      <c r="F40">
        <v>101910</v>
      </c>
      <c r="G40" t="s">
        <v>255</v>
      </c>
      <c r="H40">
        <v>154</v>
      </c>
      <c r="I40" t="s">
        <v>63</v>
      </c>
      <c r="J40">
        <v>5</v>
      </c>
      <c r="K40" t="str">
        <f>HYPERLINK("Gene83-zp_tree_all.dnd", "Gene83-tree")</f>
        <v>Gene83-tree</v>
      </c>
      <c r="L40">
        <v>3</v>
      </c>
      <c r="M40">
        <v>2</v>
      </c>
      <c r="N40">
        <v>3</v>
      </c>
      <c r="O40">
        <v>2</v>
      </c>
      <c r="P40">
        <v>0.4</v>
      </c>
      <c r="Q40" t="s">
        <v>86</v>
      </c>
      <c r="R40" t="s">
        <v>124</v>
      </c>
      <c r="S40" t="s">
        <v>66</v>
      </c>
      <c r="T40" t="s">
        <v>66</v>
      </c>
      <c r="U40">
        <v>0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</v>
      </c>
      <c r="AH40">
        <v>0</v>
      </c>
      <c r="AI40">
        <v>4</v>
      </c>
      <c r="AJ40">
        <v>1</v>
      </c>
      <c r="AK40">
        <v>7</v>
      </c>
      <c r="AL40">
        <v>2</v>
      </c>
      <c r="AM40">
        <v>4</v>
      </c>
      <c r="AN40">
        <v>0</v>
      </c>
      <c r="AO40" t="s">
        <v>256</v>
      </c>
      <c r="AP40" t="s">
        <v>68</v>
      </c>
      <c r="AQ40">
        <v>1.6259999999999999</v>
      </c>
      <c r="AR40" t="s">
        <v>69</v>
      </c>
      <c r="AS40">
        <v>11</v>
      </c>
      <c r="AT40">
        <v>2</v>
      </c>
      <c r="AU40">
        <v>1.299E-2</v>
      </c>
      <c r="AV40">
        <v>-1.73E-3</v>
      </c>
      <c r="AW40">
        <v>5.663E-2</v>
      </c>
      <c r="AX40">
        <v>-8.9099999999999995E-3</v>
      </c>
      <c r="AY40">
        <v>2.1900000000000001E-3</v>
      </c>
      <c r="AZ40">
        <v>-5.1999999999999995E-4</v>
      </c>
      <c r="BA40">
        <v>3.8710000000000001E-2</v>
      </c>
      <c r="BB40">
        <v>1</v>
      </c>
      <c r="BC40" t="s">
        <v>70</v>
      </c>
      <c r="BD40">
        <v>-0.27900000000000003</v>
      </c>
      <c r="BE40">
        <v>-0.27900000000000003</v>
      </c>
      <c r="BF40" t="s">
        <v>71</v>
      </c>
      <c r="BG40">
        <v>0.126582278481012</v>
      </c>
      <c r="BI40">
        <v>13</v>
      </c>
      <c r="BJ40">
        <v>3.8710000000000001E-2</v>
      </c>
      <c r="BK40">
        <v>0.126582278481012</v>
      </c>
    </row>
    <row r="41" spans="1:63">
      <c r="A41">
        <v>84</v>
      </c>
      <c r="B41" t="s">
        <v>257</v>
      </c>
      <c r="D41" t="s">
        <v>60</v>
      </c>
      <c r="E41">
        <v>101927</v>
      </c>
      <c r="F41">
        <v>102481</v>
      </c>
      <c r="G41" t="s">
        <v>74</v>
      </c>
      <c r="H41">
        <v>185</v>
      </c>
      <c r="I41" t="s">
        <v>63</v>
      </c>
      <c r="J41">
        <v>5</v>
      </c>
      <c r="K41" t="str">
        <f>HYPERLINK("Gene84-zp_tree_all.dnd", "Gene84-tree")</f>
        <v>Gene84-tree</v>
      </c>
      <c r="L41">
        <v>3</v>
      </c>
      <c r="M41">
        <v>2</v>
      </c>
      <c r="N41">
        <v>3</v>
      </c>
      <c r="O41">
        <v>2</v>
      </c>
      <c r="P41">
        <v>0.4</v>
      </c>
      <c r="Q41" t="s">
        <v>86</v>
      </c>
      <c r="R41" t="s">
        <v>124</v>
      </c>
      <c r="S41" t="s">
        <v>66</v>
      </c>
      <c r="T41" t="s">
        <v>66</v>
      </c>
      <c r="U41">
        <v>0</v>
      </c>
      <c r="V41">
        <v>0</v>
      </c>
      <c r="W41">
        <v>5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4</v>
      </c>
      <c r="AH41">
        <v>0</v>
      </c>
      <c r="AI41">
        <v>4</v>
      </c>
      <c r="AJ41">
        <v>2</v>
      </c>
      <c r="AK41">
        <v>6</v>
      </c>
      <c r="AL41">
        <v>4</v>
      </c>
      <c r="AM41">
        <v>20</v>
      </c>
      <c r="AN41">
        <v>1</v>
      </c>
      <c r="AO41" t="s">
        <v>259</v>
      </c>
      <c r="AP41" t="s">
        <v>260</v>
      </c>
      <c r="AQ41">
        <v>0.73899999999999999</v>
      </c>
      <c r="AR41" t="s">
        <v>69</v>
      </c>
      <c r="AS41">
        <v>26</v>
      </c>
      <c r="AT41">
        <v>5</v>
      </c>
      <c r="AU41">
        <v>2.9530000000000001E-2</v>
      </c>
      <c r="AV41">
        <v>-6.0699999999999999E-3</v>
      </c>
      <c r="AW41">
        <v>0.14696000000000001</v>
      </c>
      <c r="AX41">
        <v>-3.288E-2</v>
      </c>
      <c r="AY41">
        <v>5.0099999999999997E-3</v>
      </c>
      <c r="AZ41">
        <v>-1.16E-3</v>
      </c>
      <c r="BA41">
        <v>3.4090000000000002E-2</v>
      </c>
      <c r="BB41">
        <v>1</v>
      </c>
      <c r="BC41" t="s">
        <v>70</v>
      </c>
      <c r="BD41">
        <v>0.98699999999999999</v>
      </c>
      <c r="BE41">
        <v>0.72699999999999998</v>
      </c>
      <c r="BF41" t="s">
        <v>71</v>
      </c>
      <c r="BG41">
        <v>8.2125603864734303E-2</v>
      </c>
      <c r="BI41">
        <v>31</v>
      </c>
      <c r="BJ41">
        <v>3.4090000000000002E-2</v>
      </c>
      <c r="BK41">
        <v>8.2125603864734303E-2</v>
      </c>
    </row>
    <row r="42" spans="1:63">
      <c r="A42">
        <v>85</v>
      </c>
      <c r="B42" t="s">
        <v>261</v>
      </c>
      <c r="D42" t="s">
        <v>60</v>
      </c>
      <c r="E42">
        <v>102484</v>
      </c>
      <c r="F42">
        <v>103572</v>
      </c>
      <c r="G42" t="s">
        <v>263</v>
      </c>
      <c r="H42">
        <v>363</v>
      </c>
      <c r="I42" t="s">
        <v>63</v>
      </c>
      <c r="J42">
        <v>5</v>
      </c>
      <c r="K42" t="str">
        <f>HYPERLINK("Gene85-zp_tree_all.dnd", "Gene85-tree")</f>
        <v>Gene85-tree</v>
      </c>
      <c r="L42">
        <v>3</v>
      </c>
      <c r="M42">
        <v>2</v>
      </c>
      <c r="N42">
        <v>3</v>
      </c>
      <c r="O42">
        <v>2</v>
      </c>
      <c r="P42">
        <v>0.4</v>
      </c>
      <c r="Q42" t="s">
        <v>86</v>
      </c>
      <c r="R42" t="s">
        <v>124</v>
      </c>
      <c r="S42" t="s">
        <v>66</v>
      </c>
      <c r="T42" t="s">
        <v>66</v>
      </c>
      <c r="U42">
        <v>0</v>
      </c>
      <c r="V42">
        <v>0</v>
      </c>
      <c r="W42">
        <v>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5</v>
      </c>
      <c r="AH42">
        <v>0</v>
      </c>
      <c r="AI42">
        <v>5</v>
      </c>
      <c r="AJ42">
        <v>2</v>
      </c>
      <c r="AK42">
        <v>36</v>
      </c>
      <c r="AL42">
        <v>2</v>
      </c>
      <c r="AM42">
        <v>31</v>
      </c>
      <c r="AN42">
        <v>4</v>
      </c>
      <c r="AO42" t="s">
        <v>264</v>
      </c>
      <c r="AP42" t="s">
        <v>265</v>
      </c>
      <c r="AQ42">
        <v>0.47299999999999998</v>
      </c>
      <c r="AR42" t="s">
        <v>69</v>
      </c>
      <c r="AS42">
        <v>67</v>
      </c>
      <c r="AT42">
        <v>6</v>
      </c>
      <c r="AU42">
        <v>3.177E-2</v>
      </c>
      <c r="AV42">
        <v>-4.8700000000000002E-3</v>
      </c>
      <c r="AW42">
        <v>0.14835000000000001</v>
      </c>
      <c r="AX42">
        <v>-2.3130000000000001E-2</v>
      </c>
      <c r="AY42">
        <v>3.7799999999999999E-3</v>
      </c>
      <c r="AZ42">
        <v>-8.4999999999999995E-4</v>
      </c>
      <c r="BA42">
        <v>2.546E-2</v>
      </c>
      <c r="BB42">
        <v>1</v>
      </c>
      <c r="BC42" t="s">
        <v>70</v>
      </c>
      <c r="BD42">
        <v>0.57499999999999996</v>
      </c>
      <c r="BE42">
        <v>0.38600000000000001</v>
      </c>
      <c r="BF42" t="s">
        <v>71</v>
      </c>
      <c r="BG42">
        <v>0.142231947483588</v>
      </c>
      <c r="BI42">
        <v>73</v>
      </c>
      <c r="BJ42">
        <v>2.546E-2</v>
      </c>
      <c r="BK42">
        <v>0.142231947483588</v>
      </c>
    </row>
    <row r="43" spans="1:63">
      <c r="A43">
        <v>88</v>
      </c>
      <c r="B43" t="s">
        <v>266</v>
      </c>
      <c r="D43" t="s">
        <v>60</v>
      </c>
      <c r="E43">
        <v>107476</v>
      </c>
      <c r="F43">
        <v>108555</v>
      </c>
      <c r="G43" t="s">
        <v>268</v>
      </c>
      <c r="H43">
        <v>360</v>
      </c>
      <c r="I43" t="s">
        <v>63</v>
      </c>
      <c r="J43">
        <v>5</v>
      </c>
      <c r="K43" t="str">
        <f>HYPERLINK("Gene88-zp_tree_all.dnd", "Gene88-tree")</f>
        <v>Gene88-tree</v>
      </c>
      <c r="L43">
        <v>4</v>
      </c>
      <c r="M43">
        <v>1</v>
      </c>
      <c r="N43">
        <v>4</v>
      </c>
      <c r="O43">
        <v>1</v>
      </c>
      <c r="P43">
        <v>0.2</v>
      </c>
      <c r="Q43" t="s">
        <v>64</v>
      </c>
      <c r="R43" t="s">
        <v>65</v>
      </c>
      <c r="S43" t="s">
        <v>66</v>
      </c>
      <c r="T43" t="s">
        <v>66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5</v>
      </c>
      <c r="AJ43">
        <v>2</v>
      </c>
      <c r="AK43">
        <v>26</v>
      </c>
      <c r="AL43">
        <v>1</v>
      </c>
      <c r="AM43">
        <v>33</v>
      </c>
      <c r="AN43">
        <v>1</v>
      </c>
      <c r="AO43" t="s">
        <v>269</v>
      </c>
      <c r="AP43" t="s">
        <v>270</v>
      </c>
      <c r="AQ43">
        <v>0.121</v>
      </c>
      <c r="AR43" t="s">
        <v>69</v>
      </c>
      <c r="AS43">
        <v>59</v>
      </c>
      <c r="AT43">
        <v>2</v>
      </c>
      <c r="AU43">
        <v>2.8330000000000001E-2</v>
      </c>
      <c r="AV43">
        <v>-4.8300000000000001E-3</v>
      </c>
      <c r="AW43">
        <v>0.13439999999999999</v>
      </c>
      <c r="AX43">
        <v>-2.3810000000000001E-2</v>
      </c>
      <c r="AY43">
        <v>1.1999999999999999E-3</v>
      </c>
      <c r="AZ43">
        <v>-2.9E-4</v>
      </c>
      <c r="BA43">
        <v>8.94E-3</v>
      </c>
      <c r="BB43">
        <v>1</v>
      </c>
      <c r="BC43" t="s">
        <v>70</v>
      </c>
      <c r="BD43">
        <v>0.60899999999999999</v>
      </c>
      <c r="BE43">
        <v>0.502</v>
      </c>
      <c r="BF43" t="s">
        <v>71</v>
      </c>
      <c r="BG43">
        <v>0.17620137299771099</v>
      </c>
      <c r="BI43">
        <v>61</v>
      </c>
      <c r="BJ43">
        <v>8.94E-3</v>
      </c>
      <c r="BK43">
        <v>0.17620137299771099</v>
      </c>
    </row>
    <row r="44" spans="1:63">
      <c r="A44">
        <v>89</v>
      </c>
      <c r="B44" t="s">
        <v>271</v>
      </c>
      <c r="D44" t="s">
        <v>60</v>
      </c>
      <c r="E44">
        <v>108674</v>
      </c>
      <c r="F44">
        <v>109771</v>
      </c>
      <c r="G44" t="s">
        <v>273</v>
      </c>
      <c r="H44">
        <v>366</v>
      </c>
      <c r="I44" t="s">
        <v>63</v>
      </c>
      <c r="J44">
        <v>5</v>
      </c>
      <c r="K44" t="str">
        <f>HYPERLINK("Gene89-zp_tree_all.dnd", "Gene89-tree")</f>
        <v>Gene89-tree</v>
      </c>
      <c r="L44">
        <v>4</v>
      </c>
      <c r="M44">
        <v>1</v>
      </c>
      <c r="N44">
        <v>4</v>
      </c>
      <c r="O44">
        <v>1</v>
      </c>
      <c r="P44">
        <v>0.2</v>
      </c>
      <c r="Q44" t="s">
        <v>64</v>
      </c>
      <c r="R44" t="s">
        <v>65</v>
      </c>
      <c r="S44" t="s">
        <v>66</v>
      </c>
      <c r="T44" t="s">
        <v>66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5</v>
      </c>
      <c r="AJ44">
        <v>2</v>
      </c>
      <c r="AK44">
        <v>19</v>
      </c>
      <c r="AL44">
        <v>1</v>
      </c>
      <c r="AM44">
        <v>27</v>
      </c>
      <c r="AN44">
        <v>1</v>
      </c>
      <c r="AO44" t="s">
        <v>274</v>
      </c>
      <c r="AP44" t="s">
        <v>275</v>
      </c>
      <c r="AQ44">
        <v>0.14699999999999999</v>
      </c>
      <c r="AR44" t="s">
        <v>69</v>
      </c>
      <c r="AS44">
        <v>46</v>
      </c>
      <c r="AT44">
        <v>2</v>
      </c>
      <c r="AU44">
        <v>2.1579999999999998E-2</v>
      </c>
      <c r="AV44">
        <v>-3.81E-3</v>
      </c>
      <c r="AW44">
        <v>9.9849999999999994E-2</v>
      </c>
      <c r="AX44">
        <v>-1.7950000000000001E-2</v>
      </c>
      <c r="AY44">
        <v>1.1800000000000001E-3</v>
      </c>
      <c r="AZ44">
        <v>-2.9E-4</v>
      </c>
      <c r="BA44">
        <v>1.18E-2</v>
      </c>
      <c r="BB44">
        <v>1</v>
      </c>
      <c r="BC44" t="s">
        <v>70</v>
      </c>
      <c r="BD44">
        <v>0.73299999999999998</v>
      </c>
      <c r="BE44">
        <v>0.41899999999999998</v>
      </c>
      <c r="BF44" t="s">
        <v>71</v>
      </c>
      <c r="BG44">
        <v>0.20541760722347599</v>
      </c>
      <c r="BI44">
        <v>48</v>
      </c>
      <c r="BJ44">
        <v>1.18E-2</v>
      </c>
      <c r="BK44">
        <v>0.20541760722347599</v>
      </c>
    </row>
    <row r="45" spans="1:63">
      <c r="A45">
        <v>92</v>
      </c>
      <c r="B45" t="s">
        <v>276</v>
      </c>
      <c r="D45" t="s">
        <v>60</v>
      </c>
      <c r="E45">
        <v>111047</v>
      </c>
      <c r="F45">
        <v>112495</v>
      </c>
      <c r="G45" t="s">
        <v>278</v>
      </c>
      <c r="H45">
        <v>483</v>
      </c>
      <c r="I45" t="s">
        <v>63</v>
      </c>
      <c r="J45">
        <v>5</v>
      </c>
      <c r="K45" t="str">
        <f>HYPERLINK("Gene92-zp_tree_all.dnd", "Gene92-tree")</f>
        <v>Gene92-tree</v>
      </c>
      <c r="L45">
        <v>2</v>
      </c>
      <c r="M45">
        <v>3</v>
      </c>
      <c r="N45">
        <v>2</v>
      </c>
      <c r="O45">
        <v>3</v>
      </c>
      <c r="P45">
        <v>0.6</v>
      </c>
      <c r="Q45" t="s">
        <v>124</v>
      </c>
      <c r="R45" t="s">
        <v>86</v>
      </c>
      <c r="S45" t="s">
        <v>66</v>
      </c>
      <c r="T45" t="s">
        <v>66</v>
      </c>
      <c r="U45">
        <v>1</v>
      </c>
      <c r="V45">
        <v>2</v>
      </c>
      <c r="W45">
        <v>8</v>
      </c>
      <c r="X45">
        <v>0.2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9</v>
      </c>
      <c r="AH45">
        <v>0</v>
      </c>
      <c r="AI45">
        <v>5</v>
      </c>
      <c r="AJ45">
        <v>2</v>
      </c>
      <c r="AK45">
        <v>48</v>
      </c>
      <c r="AL45">
        <v>7</v>
      </c>
      <c r="AM45">
        <v>40</v>
      </c>
      <c r="AN45">
        <v>4</v>
      </c>
      <c r="AO45" t="s">
        <v>279</v>
      </c>
      <c r="AP45" t="s">
        <v>280</v>
      </c>
      <c r="AQ45">
        <v>0.61499999999999999</v>
      </c>
      <c r="AR45" t="s">
        <v>69</v>
      </c>
      <c r="AS45">
        <v>88</v>
      </c>
      <c r="AT45">
        <v>11</v>
      </c>
      <c r="AU45">
        <v>3.1469999999999998E-2</v>
      </c>
      <c r="AV45">
        <v>-3.9199999999999999E-3</v>
      </c>
      <c r="AW45">
        <v>0.14383000000000001</v>
      </c>
      <c r="AX45">
        <v>-1.9210000000000001E-2</v>
      </c>
      <c r="AY45">
        <v>4.0800000000000003E-3</v>
      </c>
      <c r="AZ45">
        <v>-6.6E-4</v>
      </c>
      <c r="BA45">
        <v>2.8379999999999999E-2</v>
      </c>
      <c r="BB45">
        <v>1</v>
      </c>
      <c r="BC45" t="s">
        <v>70</v>
      </c>
      <c r="BD45">
        <v>0.51200000000000001</v>
      </c>
      <c r="BE45">
        <v>0.33400000000000002</v>
      </c>
      <c r="BF45" t="s">
        <v>71</v>
      </c>
      <c r="BG45">
        <v>0.14194577352471999</v>
      </c>
      <c r="BI45">
        <v>99</v>
      </c>
      <c r="BJ45">
        <v>2.8379999999999999E-2</v>
      </c>
      <c r="BK45">
        <v>0.14194577352471999</v>
      </c>
    </row>
    <row r="46" spans="1:63">
      <c r="A46">
        <v>93</v>
      </c>
      <c r="B46" t="s">
        <v>281</v>
      </c>
      <c r="D46" t="s">
        <v>60</v>
      </c>
      <c r="E46">
        <v>112800</v>
      </c>
      <c r="F46">
        <v>113450</v>
      </c>
      <c r="G46" t="s">
        <v>283</v>
      </c>
      <c r="H46">
        <v>217</v>
      </c>
      <c r="I46" t="s">
        <v>63</v>
      </c>
      <c r="J46">
        <v>5</v>
      </c>
      <c r="K46" t="str">
        <f>HYPERLINK("Gene93-zp_tree_all.dnd", "Gene93-tree")</f>
        <v>Gene93-tree</v>
      </c>
      <c r="L46">
        <v>4</v>
      </c>
      <c r="M46">
        <v>1</v>
      </c>
      <c r="N46">
        <v>4</v>
      </c>
      <c r="O46">
        <v>1</v>
      </c>
      <c r="P46">
        <v>0.2</v>
      </c>
      <c r="Q46" t="s">
        <v>64</v>
      </c>
      <c r="R46" t="s">
        <v>65</v>
      </c>
      <c r="S46" t="s">
        <v>66</v>
      </c>
      <c r="T46" t="s">
        <v>66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3</v>
      </c>
      <c r="AJ46">
        <v>2</v>
      </c>
      <c r="AK46">
        <v>8</v>
      </c>
      <c r="AL46">
        <v>1</v>
      </c>
      <c r="AM46">
        <v>13</v>
      </c>
      <c r="AN46">
        <v>0</v>
      </c>
      <c r="AO46" t="s">
        <v>284</v>
      </c>
      <c r="AP46" t="s">
        <v>68</v>
      </c>
      <c r="AQ46">
        <v>0.78</v>
      </c>
      <c r="AR46" t="s">
        <v>69</v>
      </c>
      <c r="AS46">
        <v>21</v>
      </c>
      <c r="AT46">
        <v>1</v>
      </c>
      <c r="AU46">
        <v>1.6590000000000001E-2</v>
      </c>
      <c r="AV46">
        <v>-3.0500000000000002E-3</v>
      </c>
      <c r="AW46">
        <v>7.3370000000000005E-2</v>
      </c>
      <c r="AX46">
        <v>-1.387E-2</v>
      </c>
      <c r="AY46">
        <v>8.0000000000000004E-4</v>
      </c>
      <c r="AZ46">
        <v>-3.1E-4</v>
      </c>
      <c r="BA46">
        <v>1.093E-2</v>
      </c>
      <c r="BB46">
        <v>1</v>
      </c>
      <c r="BC46" t="s">
        <v>70</v>
      </c>
      <c r="BD46">
        <v>0.92400000000000004</v>
      </c>
      <c r="BE46">
        <v>0.154</v>
      </c>
      <c r="BF46" t="s">
        <v>71</v>
      </c>
      <c r="BG46">
        <v>0.14385964912280699</v>
      </c>
      <c r="BI46">
        <v>22</v>
      </c>
      <c r="BJ46">
        <v>1.093E-2</v>
      </c>
      <c r="BK46">
        <v>0.14385964912280699</v>
      </c>
    </row>
    <row r="47" spans="1:63">
      <c r="A47">
        <v>94</v>
      </c>
      <c r="B47" t="s">
        <v>285</v>
      </c>
      <c r="D47" t="s">
        <v>60</v>
      </c>
      <c r="E47">
        <v>113450</v>
      </c>
      <c r="F47">
        <v>114847</v>
      </c>
      <c r="G47" t="s">
        <v>287</v>
      </c>
      <c r="H47">
        <v>466</v>
      </c>
      <c r="I47" t="s">
        <v>85</v>
      </c>
      <c r="J47">
        <v>4</v>
      </c>
      <c r="K47" t="str">
        <f>HYPERLINK("Gene94-zp_tree_all.dnd", "Gene94-tree")</f>
        <v>Gene94-tree</v>
      </c>
      <c r="L47">
        <v>0</v>
      </c>
      <c r="M47">
        <v>4</v>
      </c>
      <c r="N47">
        <v>0</v>
      </c>
      <c r="O47">
        <v>4</v>
      </c>
      <c r="P47">
        <v>1</v>
      </c>
      <c r="Q47" t="s">
        <v>66</v>
      </c>
      <c r="R47" t="s">
        <v>64</v>
      </c>
      <c r="S47" t="s">
        <v>66</v>
      </c>
      <c r="T47" t="s">
        <v>66</v>
      </c>
      <c r="U47">
        <v>0</v>
      </c>
      <c r="V47">
        <v>0</v>
      </c>
      <c r="W47">
        <v>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</v>
      </c>
      <c r="AH47">
        <v>0</v>
      </c>
      <c r="AI47">
        <v>4</v>
      </c>
      <c r="AJ47">
        <v>1</v>
      </c>
      <c r="AK47">
        <v>71</v>
      </c>
      <c r="AL47">
        <v>5</v>
      </c>
      <c r="AM47">
        <v>4</v>
      </c>
      <c r="AN47">
        <v>0</v>
      </c>
      <c r="AO47" t="s">
        <v>288</v>
      </c>
      <c r="AP47" t="s">
        <v>68</v>
      </c>
      <c r="AQ47">
        <v>0.94199999999999995</v>
      </c>
      <c r="AR47" t="s">
        <v>69</v>
      </c>
      <c r="AS47">
        <v>75</v>
      </c>
      <c r="AT47">
        <v>5</v>
      </c>
      <c r="AU47">
        <v>2.8369999999999999E-2</v>
      </c>
      <c r="AV47">
        <v>-8.09E-3</v>
      </c>
      <c r="AW47">
        <v>0.14174</v>
      </c>
      <c r="AX47">
        <v>-4.5159999999999999E-2</v>
      </c>
      <c r="AY47">
        <v>2.2899999999999999E-3</v>
      </c>
      <c r="AZ47">
        <v>-1.9000000000000001E-4</v>
      </c>
      <c r="BA47">
        <v>1.6140000000000002E-2</v>
      </c>
      <c r="BB47">
        <v>1</v>
      </c>
      <c r="BC47" t="s">
        <v>70</v>
      </c>
      <c r="BD47">
        <v>-0.57999999999999996</v>
      </c>
      <c r="BE47">
        <v>-0.82899999999999996</v>
      </c>
      <c r="BF47" t="s">
        <v>71</v>
      </c>
      <c r="BG47">
        <v>9.6880131362889907E-2</v>
      </c>
      <c r="BI47">
        <v>80</v>
      </c>
      <c r="BJ47">
        <v>1.6140000000000002E-2</v>
      </c>
      <c r="BK47">
        <v>9.6880131362889907E-2</v>
      </c>
    </row>
    <row r="48" spans="1:63">
      <c r="A48">
        <v>95</v>
      </c>
      <c r="B48" t="s">
        <v>289</v>
      </c>
      <c r="D48" t="s">
        <v>60</v>
      </c>
      <c r="E48">
        <v>114854</v>
      </c>
      <c r="F48">
        <v>115282</v>
      </c>
      <c r="G48" t="s">
        <v>291</v>
      </c>
      <c r="H48">
        <v>143</v>
      </c>
      <c r="I48" t="s">
        <v>106</v>
      </c>
      <c r="J48">
        <v>4</v>
      </c>
      <c r="K48" t="str">
        <f>HYPERLINK("Gene95-zp_tree_all.dnd", "Gene95-tree")</f>
        <v>Gene95-tree</v>
      </c>
      <c r="L48">
        <v>1</v>
      </c>
      <c r="M48">
        <v>3</v>
      </c>
      <c r="N48">
        <v>1</v>
      </c>
      <c r="O48">
        <v>3</v>
      </c>
      <c r="P48">
        <v>0.75</v>
      </c>
      <c r="Q48" t="s">
        <v>65</v>
      </c>
      <c r="R48" t="s">
        <v>86</v>
      </c>
      <c r="S48" t="s">
        <v>66</v>
      </c>
      <c r="T48" t="s">
        <v>66</v>
      </c>
      <c r="U48">
        <v>1</v>
      </c>
      <c r="V48">
        <v>2</v>
      </c>
      <c r="W48">
        <v>5</v>
      </c>
      <c r="X48">
        <v>0.28571000000000002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</v>
      </c>
      <c r="AE48">
        <v>0</v>
      </c>
      <c r="AF48">
        <v>2</v>
      </c>
      <c r="AG48">
        <v>5</v>
      </c>
      <c r="AH48">
        <v>0.28571000000000002</v>
      </c>
      <c r="AI48">
        <v>3</v>
      </c>
      <c r="AJ48">
        <v>1</v>
      </c>
      <c r="AK48">
        <v>17</v>
      </c>
      <c r="AL48">
        <v>7</v>
      </c>
      <c r="AM48">
        <v>1</v>
      </c>
      <c r="AN48">
        <v>0</v>
      </c>
      <c r="AO48" t="s">
        <v>292</v>
      </c>
      <c r="AP48" t="s">
        <v>68</v>
      </c>
      <c r="AQ48">
        <v>0.83199999999999996</v>
      </c>
      <c r="AR48" t="s">
        <v>69</v>
      </c>
      <c r="AS48">
        <v>18</v>
      </c>
      <c r="AT48">
        <v>7</v>
      </c>
      <c r="AU48">
        <v>2.8750000000000001E-2</v>
      </c>
      <c r="AV48">
        <v>-8.6800000000000002E-3</v>
      </c>
      <c r="AW48">
        <v>0.10303</v>
      </c>
      <c r="AX48">
        <v>-3.4119999999999998E-2</v>
      </c>
      <c r="AY48">
        <v>9.6900000000000007E-3</v>
      </c>
      <c r="AZ48">
        <v>-2.4499999999999999E-3</v>
      </c>
      <c r="BA48">
        <v>9.4089999999999993E-2</v>
      </c>
      <c r="BB48">
        <v>1</v>
      </c>
      <c r="BC48" t="s">
        <v>70</v>
      </c>
      <c r="BD48">
        <v>-0.59599999999999997</v>
      </c>
      <c r="BE48">
        <v>-0.59599999999999997</v>
      </c>
      <c r="BF48" t="s">
        <v>71</v>
      </c>
      <c r="BG48">
        <v>8.7912087912087905E-2</v>
      </c>
      <c r="BI48">
        <v>25</v>
      </c>
      <c r="BJ48">
        <v>9.4089999999999993E-2</v>
      </c>
      <c r="BK48">
        <v>8.7912087912087905E-2</v>
      </c>
    </row>
    <row r="49" spans="1:63">
      <c r="A49">
        <v>96</v>
      </c>
      <c r="B49" t="s">
        <v>293</v>
      </c>
      <c r="D49" t="s">
        <v>60</v>
      </c>
      <c r="E49">
        <v>115269</v>
      </c>
      <c r="F49">
        <v>116015</v>
      </c>
      <c r="G49" t="s">
        <v>295</v>
      </c>
      <c r="H49">
        <v>249</v>
      </c>
      <c r="I49" t="s">
        <v>63</v>
      </c>
      <c r="J49">
        <v>5</v>
      </c>
      <c r="K49" t="str">
        <f>HYPERLINK("Gene96-zp_tree_all.dnd", "Gene96-tree")</f>
        <v>Gene96-tree</v>
      </c>
      <c r="L49">
        <v>4</v>
      </c>
      <c r="M49">
        <v>1</v>
      </c>
      <c r="N49">
        <v>4</v>
      </c>
      <c r="O49">
        <v>1</v>
      </c>
      <c r="P49">
        <v>0.2</v>
      </c>
      <c r="Q49" t="s">
        <v>64</v>
      </c>
      <c r="R49" t="s">
        <v>65</v>
      </c>
      <c r="S49" t="s">
        <v>66</v>
      </c>
      <c r="T49" t="s">
        <v>66</v>
      </c>
      <c r="U49">
        <v>0</v>
      </c>
      <c r="V49">
        <v>0</v>
      </c>
      <c r="W49">
        <v>3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0</v>
      </c>
      <c r="AI49">
        <v>5</v>
      </c>
      <c r="AJ49">
        <v>2</v>
      </c>
      <c r="AK49">
        <v>22</v>
      </c>
      <c r="AL49">
        <v>2</v>
      </c>
      <c r="AM49">
        <v>22</v>
      </c>
      <c r="AN49">
        <v>1</v>
      </c>
      <c r="AO49" t="s">
        <v>296</v>
      </c>
      <c r="AP49" t="s">
        <v>297</v>
      </c>
      <c r="AQ49">
        <v>0.25700000000000001</v>
      </c>
      <c r="AR49" t="s">
        <v>69</v>
      </c>
      <c r="AS49">
        <v>44</v>
      </c>
      <c r="AT49">
        <v>3</v>
      </c>
      <c r="AU49">
        <v>3.066E-2</v>
      </c>
      <c r="AV49">
        <v>-5.1999999999999998E-3</v>
      </c>
      <c r="AW49">
        <v>0.13777</v>
      </c>
      <c r="AX49">
        <v>-2.5239999999999999E-2</v>
      </c>
      <c r="AY49">
        <v>2.4599999999999999E-3</v>
      </c>
      <c r="AZ49">
        <v>-5.1000000000000004E-4</v>
      </c>
      <c r="BA49">
        <v>1.7840000000000002E-2</v>
      </c>
      <c r="BB49">
        <v>1</v>
      </c>
      <c r="BC49" t="s">
        <v>70</v>
      </c>
      <c r="BD49">
        <v>0.45300000000000001</v>
      </c>
      <c r="BE49">
        <v>0.27900000000000003</v>
      </c>
      <c r="BF49" t="s">
        <v>71</v>
      </c>
      <c r="BG49">
        <v>0.162921348314606</v>
      </c>
      <c r="BI49">
        <v>47</v>
      </c>
      <c r="BJ49">
        <v>1.7840000000000002E-2</v>
      </c>
      <c r="BK49">
        <v>0.162921348314606</v>
      </c>
    </row>
    <row r="50" spans="1:63">
      <c r="A50">
        <v>97</v>
      </c>
      <c r="B50" t="s">
        <v>298</v>
      </c>
      <c r="D50" t="s">
        <v>60</v>
      </c>
      <c r="E50">
        <v>116025</v>
      </c>
      <c r="F50">
        <v>116534</v>
      </c>
      <c r="G50" t="s">
        <v>74</v>
      </c>
      <c r="H50">
        <v>170</v>
      </c>
      <c r="I50" t="s">
        <v>63</v>
      </c>
      <c r="J50">
        <v>5</v>
      </c>
      <c r="K50" t="str">
        <f>HYPERLINK("Gene97-zp_tree_all.dnd", "Gene97-tree")</f>
        <v>Gene97-tree</v>
      </c>
      <c r="L50">
        <v>5</v>
      </c>
      <c r="M50">
        <v>0</v>
      </c>
      <c r="N50">
        <v>5</v>
      </c>
      <c r="O50">
        <v>0</v>
      </c>
      <c r="P50">
        <v>0</v>
      </c>
      <c r="Q50" t="s">
        <v>96</v>
      </c>
      <c r="R50" t="s">
        <v>66</v>
      </c>
      <c r="S50" t="s">
        <v>66</v>
      </c>
      <c r="T50" t="s">
        <v>66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5</v>
      </c>
      <c r="AJ50">
        <v>2</v>
      </c>
      <c r="AK50">
        <v>9</v>
      </c>
      <c r="AL50">
        <v>0</v>
      </c>
      <c r="AM50">
        <v>5</v>
      </c>
      <c r="AN50">
        <v>1</v>
      </c>
      <c r="AO50" t="s">
        <v>68</v>
      </c>
      <c r="AP50" t="s">
        <v>300</v>
      </c>
      <c r="AQ50">
        <v>1.034</v>
      </c>
      <c r="AR50" t="s">
        <v>69</v>
      </c>
      <c r="AS50">
        <v>14</v>
      </c>
      <c r="AT50">
        <v>1</v>
      </c>
      <c r="AU50">
        <v>1.3729999999999999E-2</v>
      </c>
      <c r="AV50">
        <v>-1.8600000000000001E-3</v>
      </c>
      <c r="AW50">
        <v>6.0139999999999999E-2</v>
      </c>
      <c r="AX50">
        <v>-7.79E-3</v>
      </c>
      <c r="AY50">
        <v>1.5100000000000001E-3</v>
      </c>
      <c r="AZ50">
        <v>-3.6000000000000002E-4</v>
      </c>
      <c r="BA50">
        <v>2.5080000000000002E-2</v>
      </c>
      <c r="BB50">
        <v>1</v>
      </c>
      <c r="BC50" t="s">
        <v>70</v>
      </c>
      <c r="BD50">
        <v>0.30399999999999999</v>
      </c>
      <c r="BE50">
        <v>0.30399999999999999</v>
      </c>
      <c r="BF50" t="s">
        <v>71</v>
      </c>
      <c r="BG50">
        <v>0.29824561403508698</v>
      </c>
      <c r="BI50">
        <v>15</v>
      </c>
      <c r="BJ50">
        <v>2.5080000000000002E-2</v>
      </c>
      <c r="BK50">
        <v>0.29824561403508698</v>
      </c>
    </row>
    <row r="51" spans="1:63">
      <c r="A51">
        <v>98</v>
      </c>
      <c r="B51" t="s">
        <v>301</v>
      </c>
      <c r="D51" t="s">
        <v>60</v>
      </c>
      <c r="E51">
        <v>116600</v>
      </c>
      <c r="F51">
        <v>117253</v>
      </c>
      <c r="G51" t="s">
        <v>303</v>
      </c>
      <c r="H51">
        <v>218</v>
      </c>
      <c r="I51" t="s">
        <v>63</v>
      </c>
      <c r="J51">
        <v>5</v>
      </c>
      <c r="K51" t="str">
        <f>HYPERLINK("Gene98-zp_tree_all.dnd", "Gene98-tree")</f>
        <v>Gene98-tree</v>
      </c>
      <c r="L51">
        <v>4</v>
      </c>
      <c r="M51">
        <v>1</v>
      </c>
      <c r="N51">
        <v>4</v>
      </c>
      <c r="O51">
        <v>1</v>
      </c>
      <c r="P51">
        <v>0.2</v>
      </c>
      <c r="Q51" t="s">
        <v>64</v>
      </c>
      <c r="R51" t="s">
        <v>65</v>
      </c>
      <c r="S51" t="s">
        <v>66</v>
      </c>
      <c r="T51" t="s">
        <v>66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5</v>
      </c>
      <c r="AJ51">
        <v>1</v>
      </c>
      <c r="AK51">
        <v>14</v>
      </c>
      <c r="AL51">
        <v>1</v>
      </c>
      <c r="AM51">
        <v>9</v>
      </c>
      <c r="AN51">
        <v>0</v>
      </c>
      <c r="AO51" t="s">
        <v>304</v>
      </c>
      <c r="AP51" t="s">
        <v>68</v>
      </c>
      <c r="AQ51">
        <v>0.498</v>
      </c>
      <c r="AR51" t="s">
        <v>69</v>
      </c>
      <c r="AS51">
        <v>23</v>
      </c>
      <c r="AT51">
        <v>1</v>
      </c>
      <c r="AU51">
        <v>1.7430000000000001E-2</v>
      </c>
      <c r="AV51">
        <v>-2.7399999999999998E-3</v>
      </c>
      <c r="AW51">
        <v>8.5550000000000001E-2</v>
      </c>
      <c r="AX51">
        <v>-1.4449999999999999E-2</v>
      </c>
      <c r="AY51">
        <v>7.7999999999999999E-4</v>
      </c>
      <c r="AZ51">
        <v>-2.3000000000000001E-4</v>
      </c>
      <c r="BA51">
        <v>9.0799999999999995E-3</v>
      </c>
      <c r="BB51">
        <v>1</v>
      </c>
      <c r="BC51" t="s">
        <v>70</v>
      </c>
      <c r="BD51">
        <v>-7.6999999999999999E-2</v>
      </c>
      <c r="BE51">
        <v>-7.6999999999999999E-2</v>
      </c>
      <c r="BF51" t="s">
        <v>71</v>
      </c>
      <c r="BG51">
        <v>0.12781954887218</v>
      </c>
      <c r="BI51">
        <v>24</v>
      </c>
      <c r="BJ51">
        <v>9.0799999999999995E-3</v>
      </c>
      <c r="BK51">
        <v>0.12781954887218</v>
      </c>
    </row>
    <row r="52" spans="1:63">
      <c r="A52">
        <v>101</v>
      </c>
      <c r="B52" t="s">
        <v>311</v>
      </c>
      <c r="D52" t="s">
        <v>60</v>
      </c>
      <c r="E52">
        <v>117890</v>
      </c>
      <c r="F52">
        <v>118420</v>
      </c>
      <c r="G52" t="s">
        <v>313</v>
      </c>
      <c r="H52">
        <v>177</v>
      </c>
      <c r="I52" t="s">
        <v>63</v>
      </c>
      <c r="J52">
        <v>5</v>
      </c>
      <c r="K52" t="str">
        <f>HYPERLINK("Gene101-zp_tree_all.dnd", "Gene101-tree")</f>
        <v>Gene101-tree</v>
      </c>
      <c r="L52">
        <v>5</v>
      </c>
      <c r="M52">
        <v>0</v>
      </c>
      <c r="N52">
        <v>5</v>
      </c>
      <c r="O52">
        <v>0</v>
      </c>
      <c r="P52">
        <v>0</v>
      </c>
      <c r="Q52" t="s">
        <v>96</v>
      </c>
      <c r="R52" t="s">
        <v>66</v>
      </c>
      <c r="S52" t="s">
        <v>66</v>
      </c>
      <c r="T52" t="s">
        <v>66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4</v>
      </c>
      <c r="AJ52">
        <v>2</v>
      </c>
      <c r="AK52">
        <v>11</v>
      </c>
      <c r="AL52">
        <v>0</v>
      </c>
      <c r="AM52">
        <v>17</v>
      </c>
      <c r="AN52">
        <v>0</v>
      </c>
      <c r="AO52" t="s">
        <v>68</v>
      </c>
      <c r="AP52" t="s">
        <v>68</v>
      </c>
      <c r="AQ52">
        <v>0</v>
      </c>
      <c r="AR52" t="s">
        <v>69</v>
      </c>
      <c r="AS52">
        <v>28</v>
      </c>
      <c r="AT52">
        <v>0</v>
      </c>
      <c r="AU52">
        <v>2.75E-2</v>
      </c>
      <c r="AV52">
        <v>-4.7000000000000002E-3</v>
      </c>
      <c r="AW52">
        <v>0.13971</v>
      </c>
      <c r="AX52">
        <v>-2.5159999999999998E-2</v>
      </c>
      <c r="AY52">
        <v>0</v>
      </c>
      <c r="AZ52">
        <v>0</v>
      </c>
      <c r="BA52">
        <v>0</v>
      </c>
      <c r="BB52">
        <v>1</v>
      </c>
      <c r="BC52" t="s">
        <v>70</v>
      </c>
      <c r="BD52">
        <v>0.64400000000000002</v>
      </c>
      <c r="BE52">
        <v>0.64400000000000002</v>
      </c>
      <c r="BF52" t="s">
        <v>71</v>
      </c>
      <c r="BG52">
        <v>0.22727272727272699</v>
      </c>
      <c r="BI52">
        <v>28</v>
      </c>
      <c r="BJ52">
        <v>0</v>
      </c>
      <c r="BK52">
        <v>0.22727272727272699</v>
      </c>
    </row>
    <row r="53" spans="1:63">
      <c r="A53">
        <v>102</v>
      </c>
      <c r="B53" t="s">
        <v>314</v>
      </c>
      <c r="D53" t="s">
        <v>60</v>
      </c>
      <c r="E53">
        <v>118591</v>
      </c>
      <c r="F53">
        <v>119013</v>
      </c>
      <c r="G53" t="s">
        <v>316</v>
      </c>
      <c r="H53">
        <v>141</v>
      </c>
      <c r="I53" t="s">
        <v>63</v>
      </c>
      <c r="J53">
        <v>5</v>
      </c>
      <c r="K53" t="str">
        <f>HYPERLINK("Gene102-zp_tree_all.dnd", "Gene102-tree")</f>
        <v>Gene102-tree</v>
      </c>
      <c r="L53">
        <v>5</v>
      </c>
      <c r="M53">
        <v>0</v>
      </c>
      <c r="N53">
        <v>4</v>
      </c>
      <c r="O53">
        <v>0</v>
      </c>
      <c r="P53">
        <v>0</v>
      </c>
      <c r="Q53" t="s">
        <v>135</v>
      </c>
      <c r="R53" t="s">
        <v>66</v>
      </c>
      <c r="S53" t="s">
        <v>66</v>
      </c>
      <c r="T53" t="s">
        <v>66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</v>
      </c>
      <c r="AJ53">
        <v>1</v>
      </c>
      <c r="AK53">
        <v>4</v>
      </c>
      <c r="AL53">
        <v>0</v>
      </c>
      <c r="AM53">
        <v>1</v>
      </c>
      <c r="AN53">
        <v>0</v>
      </c>
      <c r="AO53" t="s">
        <v>68</v>
      </c>
      <c r="AP53" t="s">
        <v>68</v>
      </c>
      <c r="AQ53">
        <v>0</v>
      </c>
      <c r="AR53" t="s">
        <v>69</v>
      </c>
      <c r="AS53">
        <v>5</v>
      </c>
      <c r="AT53">
        <v>0</v>
      </c>
      <c r="AU53">
        <v>6.3E-3</v>
      </c>
      <c r="AV53">
        <v>-9.1E-4</v>
      </c>
      <c r="AW53">
        <v>2.6669999999999999E-2</v>
      </c>
      <c r="AX53">
        <v>-3.8999999999999998E-3</v>
      </c>
      <c r="AY53">
        <v>0</v>
      </c>
      <c r="AZ53">
        <v>0</v>
      </c>
      <c r="BA53">
        <v>0</v>
      </c>
      <c r="BB53">
        <v>1</v>
      </c>
      <c r="BC53" t="s">
        <v>70</v>
      </c>
      <c r="BD53">
        <v>-0.56200000000000006</v>
      </c>
      <c r="BE53">
        <v>-0.56200000000000006</v>
      </c>
      <c r="BF53" t="s">
        <v>71</v>
      </c>
      <c r="BG53">
        <v>8.1081081081081002E-2</v>
      </c>
      <c r="BI53">
        <v>5</v>
      </c>
      <c r="BJ53">
        <v>0</v>
      </c>
      <c r="BK53">
        <v>8.1081081081081002E-2</v>
      </c>
    </row>
    <row r="54" spans="1:63">
      <c r="A54">
        <v>103</v>
      </c>
      <c r="B54" t="s">
        <v>317</v>
      </c>
      <c r="D54" t="s">
        <v>60</v>
      </c>
      <c r="E54">
        <v>119111</v>
      </c>
      <c r="F54">
        <v>119806</v>
      </c>
      <c r="G54" t="s">
        <v>319</v>
      </c>
      <c r="H54">
        <v>232</v>
      </c>
      <c r="I54" t="s">
        <v>63</v>
      </c>
      <c r="J54">
        <v>5</v>
      </c>
      <c r="K54" t="str">
        <f>HYPERLINK("Gene103-zp_tree_all.dnd", "Gene103-tree")</f>
        <v>Gene103-tree</v>
      </c>
      <c r="L54">
        <v>4</v>
      </c>
      <c r="M54">
        <v>1</v>
      </c>
      <c r="N54">
        <v>3</v>
      </c>
      <c r="O54">
        <v>1</v>
      </c>
      <c r="P54">
        <v>0.25</v>
      </c>
      <c r="Q54" t="s">
        <v>112</v>
      </c>
      <c r="R54" t="s">
        <v>65</v>
      </c>
      <c r="S54" t="s">
        <v>66</v>
      </c>
      <c r="T54" t="s">
        <v>66</v>
      </c>
      <c r="U54">
        <v>0</v>
      </c>
      <c r="V54">
        <v>0</v>
      </c>
      <c r="W54">
        <v>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4</v>
      </c>
      <c r="AH54">
        <v>0</v>
      </c>
      <c r="AI54">
        <v>4</v>
      </c>
      <c r="AJ54">
        <v>1</v>
      </c>
      <c r="AK54">
        <v>24</v>
      </c>
      <c r="AL54">
        <v>4</v>
      </c>
      <c r="AM54">
        <v>7</v>
      </c>
      <c r="AN54">
        <v>0</v>
      </c>
      <c r="AO54" t="s">
        <v>320</v>
      </c>
      <c r="AP54" t="s">
        <v>68</v>
      </c>
      <c r="AQ54">
        <v>0.5</v>
      </c>
      <c r="AR54" t="s">
        <v>69</v>
      </c>
      <c r="AS54">
        <v>31</v>
      </c>
      <c r="AT54">
        <v>4</v>
      </c>
      <c r="AU54">
        <v>2.562E-2</v>
      </c>
      <c r="AV54">
        <v>-5.0600000000000003E-3</v>
      </c>
      <c r="AW54">
        <v>0.1037</v>
      </c>
      <c r="AX54">
        <v>-1.917E-2</v>
      </c>
      <c r="AY54">
        <v>3.79E-3</v>
      </c>
      <c r="AZ54">
        <v>-1.5499999999999999E-3</v>
      </c>
      <c r="BA54">
        <v>3.6549999999999999E-2</v>
      </c>
      <c r="BB54">
        <v>1</v>
      </c>
      <c r="BC54" t="s">
        <v>70</v>
      </c>
      <c r="BD54">
        <v>-0.127</v>
      </c>
      <c r="BE54">
        <v>-0.85799999999999998</v>
      </c>
      <c r="BF54" t="s">
        <v>71</v>
      </c>
      <c r="BG54">
        <v>6.8493150684931503E-2</v>
      </c>
      <c r="BI54">
        <v>35</v>
      </c>
      <c r="BJ54">
        <v>3.6549999999999999E-2</v>
      </c>
      <c r="BK54">
        <v>6.8493150684931503E-2</v>
      </c>
    </row>
    <row r="55" spans="1:63">
      <c r="A55">
        <v>105</v>
      </c>
      <c r="B55" t="s">
        <v>324</v>
      </c>
      <c r="D55" t="s">
        <v>60</v>
      </c>
      <c r="E55">
        <v>120607</v>
      </c>
      <c r="F55">
        <v>120975</v>
      </c>
      <c r="G55" t="s">
        <v>326</v>
      </c>
      <c r="H55">
        <v>123</v>
      </c>
      <c r="I55" t="s">
        <v>63</v>
      </c>
      <c r="J55">
        <v>5</v>
      </c>
      <c r="K55" t="str">
        <f>HYPERLINK("Gene105-zp_tree_all.dnd", "Gene105-tree")</f>
        <v>Gene105-tree</v>
      </c>
      <c r="L55">
        <v>5</v>
      </c>
      <c r="M55">
        <v>0</v>
      </c>
      <c r="N55">
        <v>5</v>
      </c>
      <c r="O55">
        <v>0</v>
      </c>
      <c r="P55">
        <v>0</v>
      </c>
      <c r="Q55" t="s">
        <v>96</v>
      </c>
      <c r="R55" t="s">
        <v>66</v>
      </c>
      <c r="S55" t="s">
        <v>66</v>
      </c>
      <c r="T55" t="s">
        <v>66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3</v>
      </c>
      <c r="AJ55">
        <v>2</v>
      </c>
      <c r="AK55">
        <v>3</v>
      </c>
      <c r="AL55">
        <v>0</v>
      </c>
      <c r="AM55">
        <v>3</v>
      </c>
      <c r="AN55">
        <v>0</v>
      </c>
      <c r="AO55" t="s">
        <v>68</v>
      </c>
      <c r="AP55" t="s">
        <v>68</v>
      </c>
      <c r="AQ55">
        <v>0</v>
      </c>
      <c r="AR55" t="s">
        <v>69</v>
      </c>
      <c r="AS55">
        <v>6</v>
      </c>
      <c r="AT55">
        <v>0</v>
      </c>
      <c r="AU55">
        <v>8.1300000000000001E-3</v>
      </c>
      <c r="AV55">
        <v>-1.2099999999999999E-3</v>
      </c>
      <c r="AW55">
        <v>3.4939999999999999E-2</v>
      </c>
      <c r="AX55">
        <v>-5.3E-3</v>
      </c>
      <c r="AY55">
        <v>0</v>
      </c>
      <c r="AZ55">
        <v>0</v>
      </c>
      <c r="BA55">
        <v>0</v>
      </c>
      <c r="BB55">
        <v>1</v>
      </c>
      <c r="BC55" t="s">
        <v>70</v>
      </c>
      <c r="BD55">
        <v>0.28599999999999998</v>
      </c>
      <c r="BE55">
        <v>0.28599999999999998</v>
      </c>
      <c r="BF55" t="s">
        <v>71</v>
      </c>
      <c r="BG55">
        <v>0.15584415584415501</v>
      </c>
      <c r="BI55">
        <v>6</v>
      </c>
      <c r="BJ55">
        <v>0</v>
      </c>
      <c r="BK55">
        <v>0.15584415584415501</v>
      </c>
    </row>
    <row r="56" spans="1:63">
      <c r="A56">
        <v>106</v>
      </c>
      <c r="B56" t="s">
        <v>327</v>
      </c>
      <c r="D56" t="s">
        <v>60</v>
      </c>
      <c r="E56">
        <v>121068</v>
      </c>
      <c r="F56">
        <v>121670</v>
      </c>
      <c r="G56" t="s">
        <v>74</v>
      </c>
      <c r="H56">
        <v>201</v>
      </c>
      <c r="I56" t="s">
        <v>63</v>
      </c>
      <c r="J56">
        <v>5</v>
      </c>
      <c r="K56" t="str">
        <f>HYPERLINK("Gene106-zp_tree_all.dnd", "Gene106-tree")</f>
        <v>Gene106-tree</v>
      </c>
      <c r="L56">
        <v>1</v>
      </c>
      <c r="M56">
        <v>4</v>
      </c>
      <c r="N56">
        <v>1</v>
      </c>
      <c r="O56">
        <v>4</v>
      </c>
      <c r="P56">
        <v>0.8</v>
      </c>
      <c r="Q56" t="s">
        <v>65</v>
      </c>
      <c r="R56" t="s">
        <v>64</v>
      </c>
      <c r="S56" t="s">
        <v>66</v>
      </c>
      <c r="T56" t="s">
        <v>66</v>
      </c>
      <c r="U56">
        <v>0</v>
      </c>
      <c r="V56">
        <v>0</v>
      </c>
      <c r="W56">
        <v>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9</v>
      </c>
      <c r="AH56">
        <v>0</v>
      </c>
      <c r="AI56">
        <v>5</v>
      </c>
      <c r="AJ56">
        <v>2</v>
      </c>
      <c r="AK56">
        <v>10</v>
      </c>
      <c r="AL56">
        <v>7</v>
      </c>
      <c r="AM56">
        <v>17</v>
      </c>
      <c r="AN56">
        <v>2</v>
      </c>
      <c r="AO56" t="s">
        <v>329</v>
      </c>
      <c r="AP56" t="s">
        <v>330</v>
      </c>
      <c r="AQ56">
        <v>1.99</v>
      </c>
      <c r="AR56" t="s">
        <v>239</v>
      </c>
      <c r="AS56">
        <v>27</v>
      </c>
      <c r="AT56">
        <v>9</v>
      </c>
      <c r="AU56">
        <v>2.9350000000000001E-2</v>
      </c>
      <c r="AV56">
        <v>-3.9100000000000003E-3</v>
      </c>
      <c r="AW56">
        <v>0.11446000000000001</v>
      </c>
      <c r="AX56">
        <v>-1.8870000000000001E-2</v>
      </c>
      <c r="AY56">
        <v>8.5400000000000007E-3</v>
      </c>
      <c r="AZ56">
        <v>-9.1E-4</v>
      </c>
      <c r="BA56">
        <v>7.46E-2</v>
      </c>
      <c r="BB56">
        <v>1</v>
      </c>
      <c r="BC56" t="s">
        <v>70</v>
      </c>
      <c r="BD56">
        <v>0.63400000000000001</v>
      </c>
      <c r="BE56">
        <v>0.40400000000000003</v>
      </c>
      <c r="BF56" t="s">
        <v>71</v>
      </c>
      <c r="BG56">
        <v>5.6000000000000001E-2</v>
      </c>
      <c r="BI56">
        <v>36</v>
      </c>
      <c r="BJ56">
        <v>7.46E-2</v>
      </c>
      <c r="BK56">
        <v>5.6000000000000001E-2</v>
      </c>
    </row>
    <row r="57" spans="1:63">
      <c r="A57">
        <v>107</v>
      </c>
      <c r="B57" t="s">
        <v>331</v>
      </c>
      <c r="D57" t="s">
        <v>60</v>
      </c>
      <c r="E57">
        <v>121919</v>
      </c>
      <c r="F57">
        <v>125497</v>
      </c>
      <c r="G57" t="s">
        <v>333</v>
      </c>
      <c r="H57">
        <v>1193</v>
      </c>
      <c r="I57" t="s">
        <v>63</v>
      </c>
      <c r="J57">
        <v>5</v>
      </c>
      <c r="K57" t="str">
        <f>HYPERLINK("Gene107-zp_tree_all.dnd", "Gene107-tree")</f>
        <v>Gene107-tree</v>
      </c>
      <c r="L57">
        <v>4</v>
      </c>
      <c r="M57">
        <v>1</v>
      </c>
      <c r="N57">
        <v>4</v>
      </c>
      <c r="O57">
        <v>1</v>
      </c>
      <c r="P57">
        <v>0.2</v>
      </c>
      <c r="Q57" t="s">
        <v>64</v>
      </c>
      <c r="R57" t="s">
        <v>65</v>
      </c>
      <c r="S57" t="s">
        <v>66</v>
      </c>
      <c r="T57" t="s">
        <v>66</v>
      </c>
      <c r="U57">
        <v>0</v>
      </c>
      <c r="V57">
        <v>0</v>
      </c>
      <c r="W57">
        <v>3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2</v>
      </c>
      <c r="AH57">
        <v>0</v>
      </c>
      <c r="AI57">
        <v>5</v>
      </c>
      <c r="AJ57">
        <v>2</v>
      </c>
      <c r="AK57">
        <v>77</v>
      </c>
      <c r="AL57">
        <v>2</v>
      </c>
      <c r="AM57">
        <v>59</v>
      </c>
      <c r="AN57">
        <v>1</v>
      </c>
      <c r="AO57" t="s">
        <v>334</v>
      </c>
      <c r="AP57" t="s">
        <v>335</v>
      </c>
      <c r="AQ57">
        <v>0.17699999999999999</v>
      </c>
      <c r="AR57" t="s">
        <v>69</v>
      </c>
      <c r="AS57">
        <v>136</v>
      </c>
      <c r="AT57">
        <v>3</v>
      </c>
      <c r="AU57">
        <v>1.8249999999999999E-2</v>
      </c>
      <c r="AV57">
        <v>-2.7299999999999998E-3</v>
      </c>
      <c r="AW57">
        <v>8.0949999999999994E-2</v>
      </c>
      <c r="AX57">
        <v>-1.238E-2</v>
      </c>
      <c r="AY57">
        <v>5.1000000000000004E-4</v>
      </c>
      <c r="AZ57">
        <v>-1.3999999999999999E-4</v>
      </c>
      <c r="BA57">
        <v>6.3200000000000001E-3</v>
      </c>
      <c r="BB57">
        <v>1</v>
      </c>
      <c r="BC57" t="s">
        <v>70</v>
      </c>
      <c r="BD57">
        <v>0.35399999999999998</v>
      </c>
      <c r="BE57">
        <v>7.2999999999999995E-2</v>
      </c>
      <c r="BF57" t="s">
        <v>71</v>
      </c>
      <c r="BG57">
        <v>7.3321010474430001E-2</v>
      </c>
      <c r="BI57">
        <v>139</v>
      </c>
      <c r="BJ57">
        <v>6.3200000000000001E-3</v>
      </c>
      <c r="BK57">
        <v>7.3321010474430001E-2</v>
      </c>
    </row>
    <row r="58" spans="1:63">
      <c r="A58">
        <v>108</v>
      </c>
      <c r="B58" t="s">
        <v>336</v>
      </c>
      <c r="D58" t="s">
        <v>60</v>
      </c>
      <c r="E58">
        <v>125562</v>
      </c>
      <c r="F58">
        <v>129158</v>
      </c>
      <c r="G58" t="s">
        <v>338</v>
      </c>
      <c r="H58">
        <v>1199</v>
      </c>
      <c r="I58" t="s">
        <v>63</v>
      </c>
      <c r="J58">
        <v>5</v>
      </c>
      <c r="K58" t="str">
        <f>HYPERLINK("Gene108-zp_tree_all.dnd", "Gene108-tree")</f>
        <v>Gene108-tree</v>
      </c>
      <c r="L58">
        <v>4</v>
      </c>
      <c r="M58">
        <v>1</v>
      </c>
      <c r="N58">
        <v>4</v>
      </c>
      <c r="O58">
        <v>1</v>
      </c>
      <c r="P58">
        <v>0.2</v>
      </c>
      <c r="Q58" t="s">
        <v>64</v>
      </c>
      <c r="R58" t="s">
        <v>65</v>
      </c>
      <c r="S58" t="s">
        <v>66</v>
      </c>
      <c r="T58" t="s">
        <v>66</v>
      </c>
      <c r="U58">
        <v>0</v>
      </c>
      <c r="V58">
        <v>0</v>
      </c>
      <c r="W58">
        <v>3</v>
      </c>
      <c r="X58">
        <v>0</v>
      </c>
      <c r="Y58">
        <v>0</v>
      </c>
      <c r="Z58">
        <v>0</v>
      </c>
      <c r="AA58">
        <v>0</v>
      </c>
      <c r="AB58">
        <v>2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5</v>
      </c>
      <c r="AJ58">
        <v>2</v>
      </c>
      <c r="AK58">
        <v>62</v>
      </c>
      <c r="AL58">
        <v>1</v>
      </c>
      <c r="AM58">
        <v>67</v>
      </c>
      <c r="AN58">
        <v>2</v>
      </c>
      <c r="AO58" t="s">
        <v>339</v>
      </c>
      <c r="AP58" t="s">
        <v>340</v>
      </c>
      <c r="AQ58">
        <v>0.27400000000000002</v>
      </c>
      <c r="AR58" t="s">
        <v>69</v>
      </c>
      <c r="AS58">
        <v>129</v>
      </c>
      <c r="AT58">
        <v>3</v>
      </c>
      <c r="AU58">
        <v>1.7950000000000001E-2</v>
      </c>
      <c r="AV58">
        <v>-2.9199999999999999E-3</v>
      </c>
      <c r="AW58">
        <v>7.8780000000000003E-2</v>
      </c>
      <c r="AX58">
        <v>-1.3050000000000001E-2</v>
      </c>
      <c r="AY58">
        <v>5.8E-4</v>
      </c>
      <c r="AZ58">
        <v>-1.3999999999999999E-4</v>
      </c>
      <c r="BA58">
        <v>7.4099999999999999E-3</v>
      </c>
      <c r="BB58">
        <v>1</v>
      </c>
      <c r="BC58" t="s">
        <v>70</v>
      </c>
      <c r="BD58">
        <v>0.57099999999999995</v>
      </c>
      <c r="BE58">
        <v>0.45700000000000002</v>
      </c>
      <c r="BF58" t="s">
        <v>71</v>
      </c>
      <c r="BG58">
        <v>3.5294117647058802E-2</v>
      </c>
      <c r="BI58">
        <v>132</v>
      </c>
      <c r="BJ58">
        <v>7.4099999999999999E-3</v>
      </c>
      <c r="BK58">
        <v>3.5294117647058802E-2</v>
      </c>
    </row>
    <row r="59" spans="1:63">
      <c r="A59">
        <v>109</v>
      </c>
      <c r="B59" t="s">
        <v>341</v>
      </c>
      <c r="D59" t="s">
        <v>60</v>
      </c>
      <c r="E59">
        <v>129340</v>
      </c>
      <c r="F59">
        <v>129585</v>
      </c>
      <c r="G59" t="s">
        <v>343</v>
      </c>
      <c r="H59">
        <v>82</v>
      </c>
      <c r="I59" t="s">
        <v>63</v>
      </c>
      <c r="J59">
        <v>5</v>
      </c>
      <c r="K59" t="str">
        <f>HYPERLINK("Gene109-zp_tree_all.dnd", "Gene109-tree")</f>
        <v>Gene109-tree</v>
      </c>
      <c r="L59">
        <v>5</v>
      </c>
      <c r="M59">
        <v>0</v>
      </c>
      <c r="N59">
        <v>4</v>
      </c>
      <c r="O59">
        <v>0</v>
      </c>
      <c r="P59">
        <v>0</v>
      </c>
      <c r="Q59" t="s">
        <v>135</v>
      </c>
      <c r="R59" t="s">
        <v>66</v>
      </c>
      <c r="S59" t="s">
        <v>66</v>
      </c>
      <c r="T59" t="s">
        <v>66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3</v>
      </c>
      <c r="AJ59">
        <v>1</v>
      </c>
      <c r="AK59">
        <v>3</v>
      </c>
      <c r="AL59">
        <v>0</v>
      </c>
      <c r="AM59">
        <v>1</v>
      </c>
      <c r="AN59">
        <v>0</v>
      </c>
      <c r="AO59" t="s">
        <v>68</v>
      </c>
      <c r="AP59" t="s">
        <v>68</v>
      </c>
      <c r="AQ59">
        <v>0</v>
      </c>
      <c r="AR59" t="s">
        <v>69</v>
      </c>
      <c r="AS59">
        <v>4</v>
      </c>
      <c r="AT59">
        <v>0</v>
      </c>
      <c r="AU59">
        <v>8.8100000000000001E-3</v>
      </c>
      <c r="AV59">
        <v>-1.14E-3</v>
      </c>
      <c r="AW59">
        <v>3.6479999999999999E-2</v>
      </c>
      <c r="AX59">
        <v>-4.8199999999999996E-3</v>
      </c>
      <c r="AY59">
        <v>0</v>
      </c>
      <c r="AZ59">
        <v>0</v>
      </c>
      <c r="BA59">
        <v>0</v>
      </c>
      <c r="BB59">
        <v>1</v>
      </c>
      <c r="BC59" t="s">
        <v>70</v>
      </c>
      <c r="BD59">
        <v>-0.41</v>
      </c>
      <c r="BE59">
        <v>-0.41</v>
      </c>
      <c r="BF59" t="s">
        <v>71</v>
      </c>
      <c r="BG59">
        <v>0.12621359223300899</v>
      </c>
      <c r="BI59">
        <v>4</v>
      </c>
      <c r="BJ59">
        <v>0</v>
      </c>
      <c r="BK59">
        <v>0.12621359223300899</v>
      </c>
    </row>
    <row r="60" spans="1:63">
      <c r="A60">
        <v>110</v>
      </c>
      <c r="B60" t="s">
        <v>344</v>
      </c>
      <c r="D60" t="s">
        <v>60</v>
      </c>
      <c r="E60">
        <v>129702</v>
      </c>
      <c r="F60">
        <v>130115</v>
      </c>
      <c r="G60" t="s">
        <v>346</v>
      </c>
      <c r="H60">
        <v>138</v>
      </c>
      <c r="I60" t="s">
        <v>63</v>
      </c>
      <c r="J60">
        <v>5</v>
      </c>
      <c r="K60" t="str">
        <f>HYPERLINK("Gene110-zp_tree_all.dnd", "Gene110-tree")</f>
        <v>Gene110-tree</v>
      </c>
      <c r="L60">
        <v>4</v>
      </c>
      <c r="M60">
        <v>1</v>
      </c>
      <c r="N60">
        <v>3</v>
      </c>
      <c r="O60">
        <v>1</v>
      </c>
      <c r="P60">
        <v>0.25</v>
      </c>
      <c r="Q60" t="s">
        <v>112</v>
      </c>
      <c r="R60" t="s">
        <v>65</v>
      </c>
      <c r="S60" t="s">
        <v>66</v>
      </c>
      <c r="T60" t="s">
        <v>66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3</v>
      </c>
      <c r="AJ60">
        <v>1</v>
      </c>
      <c r="AK60">
        <v>2</v>
      </c>
      <c r="AL60">
        <v>1</v>
      </c>
      <c r="AM60">
        <v>3</v>
      </c>
      <c r="AN60">
        <v>0</v>
      </c>
      <c r="AO60" t="s">
        <v>347</v>
      </c>
      <c r="AP60" t="s">
        <v>68</v>
      </c>
      <c r="AQ60">
        <v>0.69299999999999995</v>
      </c>
      <c r="AR60" t="s">
        <v>69</v>
      </c>
      <c r="AS60">
        <v>5</v>
      </c>
      <c r="AT60">
        <v>1</v>
      </c>
      <c r="AU60">
        <v>8.4499999999999992E-3</v>
      </c>
      <c r="AV60">
        <v>-1.48E-3</v>
      </c>
      <c r="AW60">
        <v>2.964E-2</v>
      </c>
      <c r="AX60">
        <v>-6.2399999999999999E-3</v>
      </c>
      <c r="AY60">
        <v>1.6199999999999999E-3</v>
      </c>
      <c r="AZ60">
        <v>-5.9999999999999995E-4</v>
      </c>
      <c r="BA60">
        <v>5.4480000000000001E-2</v>
      </c>
      <c r="BB60">
        <v>1</v>
      </c>
      <c r="BC60" t="s">
        <v>70</v>
      </c>
      <c r="BD60">
        <v>0.28599999999999998</v>
      </c>
      <c r="BE60">
        <v>0.28599999999999998</v>
      </c>
      <c r="BF60" t="s">
        <v>71</v>
      </c>
      <c r="BG60">
        <v>-2.7322404371584699E-2</v>
      </c>
      <c r="BI60">
        <v>6</v>
      </c>
      <c r="BJ60">
        <v>5.4480000000000001E-2</v>
      </c>
      <c r="BK60">
        <v>-2.7322404371584699E-2</v>
      </c>
    </row>
    <row r="61" spans="1:63">
      <c r="A61">
        <v>111</v>
      </c>
      <c r="B61" t="s">
        <v>348</v>
      </c>
      <c r="D61" t="s">
        <v>60</v>
      </c>
      <c r="E61">
        <v>130160</v>
      </c>
      <c r="F61">
        <v>130627</v>
      </c>
      <c r="G61" t="s">
        <v>350</v>
      </c>
      <c r="H61">
        <v>156</v>
      </c>
      <c r="I61" t="s">
        <v>63</v>
      </c>
      <c r="J61">
        <v>5</v>
      </c>
      <c r="K61" t="str">
        <f>HYPERLINK("Gene111-zp_tree_all.dnd", "Gene111-tree")</f>
        <v>Gene111-tree</v>
      </c>
      <c r="L61">
        <v>5</v>
      </c>
      <c r="M61">
        <v>0</v>
      </c>
      <c r="N61">
        <v>4</v>
      </c>
      <c r="O61">
        <v>0</v>
      </c>
      <c r="P61">
        <v>0</v>
      </c>
      <c r="Q61" t="s">
        <v>135</v>
      </c>
      <c r="R61" t="s">
        <v>66</v>
      </c>
      <c r="S61" t="s">
        <v>66</v>
      </c>
      <c r="T61" t="s">
        <v>66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3</v>
      </c>
      <c r="AJ61">
        <v>1</v>
      </c>
      <c r="AK61">
        <v>5</v>
      </c>
      <c r="AL61">
        <v>0</v>
      </c>
      <c r="AM61">
        <v>5</v>
      </c>
      <c r="AN61">
        <v>0</v>
      </c>
      <c r="AO61" t="s">
        <v>68</v>
      </c>
      <c r="AP61" t="s">
        <v>68</v>
      </c>
      <c r="AQ61">
        <v>0</v>
      </c>
      <c r="AR61" t="s">
        <v>69</v>
      </c>
      <c r="AS61">
        <v>10</v>
      </c>
      <c r="AT61">
        <v>0</v>
      </c>
      <c r="AU61">
        <v>1.2460000000000001E-2</v>
      </c>
      <c r="AV61">
        <v>-2.2200000000000002E-3</v>
      </c>
      <c r="AW61">
        <v>5.6669999999999998E-2</v>
      </c>
      <c r="AX61">
        <v>-1.034E-2</v>
      </c>
      <c r="AY61">
        <v>0</v>
      </c>
      <c r="AZ61">
        <v>0</v>
      </c>
      <c r="BA61">
        <v>0</v>
      </c>
      <c r="BB61">
        <v>1</v>
      </c>
      <c r="BC61" t="s">
        <v>70</v>
      </c>
      <c r="BD61">
        <v>0.89400000000000002</v>
      </c>
      <c r="BE61">
        <v>0.89400000000000002</v>
      </c>
      <c r="BF61" t="s">
        <v>71</v>
      </c>
      <c r="BG61">
        <v>5.0505050505050497E-2</v>
      </c>
      <c r="BI61">
        <v>10</v>
      </c>
      <c r="BJ61">
        <v>0</v>
      </c>
      <c r="BK61">
        <v>5.0505050505050497E-2</v>
      </c>
    </row>
    <row r="62" spans="1:63">
      <c r="A62">
        <v>112</v>
      </c>
      <c r="B62" t="s">
        <v>351</v>
      </c>
      <c r="D62" t="s">
        <v>60</v>
      </c>
      <c r="E62">
        <v>130684</v>
      </c>
      <c r="F62">
        <v>132759</v>
      </c>
      <c r="G62" t="s">
        <v>353</v>
      </c>
      <c r="H62">
        <v>692</v>
      </c>
      <c r="I62" t="s">
        <v>63</v>
      </c>
      <c r="J62">
        <v>5</v>
      </c>
      <c r="K62" t="str">
        <f>HYPERLINK("Gene112-zp_tree_all.dnd", "Gene112-tree")</f>
        <v>Gene112-tree</v>
      </c>
      <c r="L62">
        <v>4</v>
      </c>
      <c r="M62">
        <v>1</v>
      </c>
      <c r="N62">
        <v>4</v>
      </c>
      <c r="O62">
        <v>1</v>
      </c>
      <c r="P62">
        <v>0.2</v>
      </c>
      <c r="Q62" t="s">
        <v>64</v>
      </c>
      <c r="R62" t="s">
        <v>65</v>
      </c>
      <c r="S62" t="s">
        <v>66</v>
      </c>
      <c r="T62" t="s">
        <v>66</v>
      </c>
      <c r="U62">
        <v>0</v>
      </c>
      <c r="V62">
        <v>0</v>
      </c>
      <c r="W62">
        <v>5</v>
      </c>
      <c r="X62">
        <v>0</v>
      </c>
      <c r="Y62">
        <v>0</v>
      </c>
      <c r="Z62">
        <v>0</v>
      </c>
      <c r="AA62">
        <v>0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4</v>
      </c>
      <c r="AJ62">
        <v>2</v>
      </c>
      <c r="AK62">
        <v>30</v>
      </c>
      <c r="AL62">
        <v>1</v>
      </c>
      <c r="AM62">
        <v>30</v>
      </c>
      <c r="AN62">
        <v>5</v>
      </c>
      <c r="AO62" t="s">
        <v>354</v>
      </c>
      <c r="AP62" t="s">
        <v>355</v>
      </c>
      <c r="AQ62">
        <v>0.72299999999999998</v>
      </c>
      <c r="AR62" t="s">
        <v>69</v>
      </c>
      <c r="AS62">
        <v>60</v>
      </c>
      <c r="AT62">
        <v>6</v>
      </c>
      <c r="AU62">
        <v>1.5939999999999999E-2</v>
      </c>
      <c r="AV62">
        <v>-3.0599999999999998E-3</v>
      </c>
      <c r="AW62">
        <v>6.497E-2</v>
      </c>
      <c r="AX62">
        <v>-1.2359999999999999E-2</v>
      </c>
      <c r="AY62">
        <v>2.14E-3</v>
      </c>
      <c r="AZ62">
        <v>-5.1999999999999995E-4</v>
      </c>
      <c r="BA62">
        <v>3.2960000000000003E-2</v>
      </c>
      <c r="BB62">
        <v>1</v>
      </c>
      <c r="BC62" t="s">
        <v>70</v>
      </c>
      <c r="BD62">
        <v>0.46100000000000002</v>
      </c>
      <c r="BE62">
        <v>0.34</v>
      </c>
      <c r="BF62" t="s">
        <v>71</v>
      </c>
      <c r="BG62">
        <v>5.7395143487858701E-2</v>
      </c>
      <c r="BI62">
        <v>66</v>
      </c>
      <c r="BJ62">
        <v>3.2960000000000003E-2</v>
      </c>
      <c r="BK62">
        <v>5.7395143487858701E-2</v>
      </c>
    </row>
    <row r="63" spans="1:63">
      <c r="A63">
        <v>113</v>
      </c>
      <c r="B63" t="s">
        <v>356</v>
      </c>
      <c r="D63" t="s">
        <v>60</v>
      </c>
      <c r="E63">
        <v>132882</v>
      </c>
      <c r="F63">
        <v>134069</v>
      </c>
      <c r="G63" t="s">
        <v>358</v>
      </c>
      <c r="H63">
        <v>396</v>
      </c>
      <c r="I63" t="s">
        <v>63</v>
      </c>
      <c r="J63">
        <v>5</v>
      </c>
      <c r="K63" t="str">
        <f>HYPERLINK("Gene113-zp_tree_all.dnd", "Gene113-tree")</f>
        <v>Gene113-tree</v>
      </c>
      <c r="L63">
        <v>4</v>
      </c>
      <c r="M63">
        <v>1</v>
      </c>
      <c r="N63">
        <v>4</v>
      </c>
      <c r="O63">
        <v>1</v>
      </c>
      <c r="P63">
        <v>0.2</v>
      </c>
      <c r="Q63" t="s">
        <v>64</v>
      </c>
      <c r="R63" t="s">
        <v>65</v>
      </c>
      <c r="S63" t="s">
        <v>66</v>
      </c>
      <c r="T63" t="s">
        <v>66</v>
      </c>
      <c r="U63">
        <v>0</v>
      </c>
      <c r="V63">
        <v>0</v>
      </c>
      <c r="W63">
        <v>4</v>
      </c>
      <c r="X63">
        <v>0</v>
      </c>
      <c r="Y63">
        <v>0</v>
      </c>
      <c r="Z63">
        <v>0</v>
      </c>
      <c r="AA63">
        <v>0</v>
      </c>
      <c r="AB63">
        <v>3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4</v>
      </c>
      <c r="AJ63">
        <v>1</v>
      </c>
      <c r="AK63">
        <v>8</v>
      </c>
      <c r="AL63">
        <v>1</v>
      </c>
      <c r="AM63">
        <v>10</v>
      </c>
      <c r="AN63">
        <v>4</v>
      </c>
      <c r="AO63" t="s">
        <v>359</v>
      </c>
      <c r="AP63" t="s">
        <v>360</v>
      </c>
      <c r="AQ63">
        <v>1.1879999999999999</v>
      </c>
      <c r="AR63" t="s">
        <v>69</v>
      </c>
      <c r="AS63">
        <v>18</v>
      </c>
      <c r="AT63">
        <v>5</v>
      </c>
      <c r="AU63">
        <v>1.01E-2</v>
      </c>
      <c r="AV63">
        <v>-2.0600000000000002E-3</v>
      </c>
      <c r="AW63">
        <v>3.3599999999999998E-2</v>
      </c>
      <c r="AX63">
        <v>-6.9199999999999999E-3</v>
      </c>
      <c r="AY63">
        <v>3.0999999999999999E-3</v>
      </c>
      <c r="AZ63">
        <v>-5.9999999999999995E-4</v>
      </c>
      <c r="BA63">
        <v>9.2310000000000003E-2</v>
      </c>
      <c r="BB63">
        <v>1</v>
      </c>
      <c r="BC63" t="s">
        <v>70</v>
      </c>
      <c r="BD63">
        <v>0.64600000000000002</v>
      </c>
      <c r="BE63">
        <v>0.64600000000000002</v>
      </c>
      <c r="BF63" t="s">
        <v>71</v>
      </c>
      <c r="BG63">
        <v>5.7361376673040103E-3</v>
      </c>
      <c r="BI63">
        <v>23</v>
      </c>
      <c r="BJ63">
        <v>9.2310000000000003E-2</v>
      </c>
      <c r="BK63">
        <v>5.7361376673040103E-3</v>
      </c>
    </row>
    <row r="64" spans="1:63">
      <c r="A64">
        <v>116</v>
      </c>
      <c r="B64" t="s">
        <v>364</v>
      </c>
      <c r="D64" t="s">
        <v>60</v>
      </c>
      <c r="E64">
        <v>135712</v>
      </c>
      <c r="F64">
        <v>136338</v>
      </c>
      <c r="G64" t="s">
        <v>366</v>
      </c>
      <c r="H64">
        <v>209</v>
      </c>
      <c r="I64" t="s">
        <v>63</v>
      </c>
      <c r="J64">
        <v>5</v>
      </c>
      <c r="K64" t="str">
        <f>HYPERLINK("Gene116-zp_tree_all.dnd", "Gene116-tree")</f>
        <v>Gene116-tree</v>
      </c>
      <c r="L64">
        <v>3</v>
      </c>
      <c r="M64">
        <v>2</v>
      </c>
      <c r="N64">
        <v>3</v>
      </c>
      <c r="O64">
        <v>1</v>
      </c>
      <c r="P64">
        <v>0.25</v>
      </c>
      <c r="Q64" t="s">
        <v>86</v>
      </c>
      <c r="R64" t="s">
        <v>65</v>
      </c>
      <c r="S64" t="s">
        <v>66</v>
      </c>
      <c r="T64" t="s">
        <v>66</v>
      </c>
      <c r="U64">
        <v>0</v>
      </c>
      <c r="V64">
        <v>0</v>
      </c>
      <c r="W64">
        <v>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</v>
      </c>
      <c r="AH64">
        <v>0</v>
      </c>
      <c r="AI64">
        <v>3</v>
      </c>
      <c r="AJ64">
        <v>1</v>
      </c>
      <c r="AK64">
        <v>4</v>
      </c>
      <c r="AL64">
        <v>2</v>
      </c>
      <c r="AM64">
        <v>1</v>
      </c>
      <c r="AN64">
        <v>0</v>
      </c>
      <c r="AO64" t="s">
        <v>367</v>
      </c>
      <c r="AP64" t="s">
        <v>68</v>
      </c>
      <c r="AQ64">
        <v>0.81399999999999995</v>
      </c>
      <c r="AR64" t="s">
        <v>69</v>
      </c>
      <c r="AS64">
        <v>5</v>
      </c>
      <c r="AT64">
        <v>2</v>
      </c>
      <c r="AU64">
        <v>5.8500000000000002E-3</v>
      </c>
      <c r="AV64">
        <v>-8.8999999999999995E-4</v>
      </c>
      <c r="AW64">
        <v>1.8429999999999998E-2</v>
      </c>
      <c r="AX64">
        <v>-2.7000000000000001E-3</v>
      </c>
      <c r="AY64">
        <v>2.0899999999999998E-3</v>
      </c>
      <c r="AZ64">
        <v>-7.7999999999999999E-4</v>
      </c>
      <c r="BA64">
        <v>0.11325</v>
      </c>
      <c r="BB64">
        <v>0.96599999999999997</v>
      </c>
      <c r="BC64" t="s">
        <v>70</v>
      </c>
      <c r="BD64">
        <v>0.498</v>
      </c>
      <c r="BE64">
        <v>0.498</v>
      </c>
      <c r="BF64" t="s">
        <v>71</v>
      </c>
      <c r="BG64">
        <v>0.11524163568773201</v>
      </c>
      <c r="BI64">
        <v>7</v>
      </c>
      <c r="BJ64">
        <v>0.11325</v>
      </c>
      <c r="BK64">
        <v>0.11524163568773201</v>
      </c>
    </row>
    <row r="65" spans="1:63">
      <c r="A65">
        <v>117</v>
      </c>
      <c r="B65" t="s">
        <v>368</v>
      </c>
      <c r="D65" t="s">
        <v>60</v>
      </c>
      <c r="E65">
        <v>136369</v>
      </c>
      <c r="F65">
        <v>136989</v>
      </c>
      <c r="G65" t="s">
        <v>370</v>
      </c>
      <c r="H65">
        <v>207</v>
      </c>
      <c r="I65" t="s">
        <v>63</v>
      </c>
      <c r="J65">
        <v>5</v>
      </c>
      <c r="K65" t="str">
        <f>HYPERLINK("Gene117-zp_tree_all.dnd", "Gene117-tree")</f>
        <v>Gene117-tree</v>
      </c>
      <c r="L65">
        <v>5</v>
      </c>
      <c r="M65">
        <v>0</v>
      </c>
      <c r="N65">
        <v>5</v>
      </c>
      <c r="O65">
        <v>0</v>
      </c>
      <c r="P65">
        <v>0</v>
      </c>
      <c r="Q65" t="s">
        <v>96</v>
      </c>
      <c r="R65" t="s">
        <v>66</v>
      </c>
      <c r="S65" t="s">
        <v>66</v>
      </c>
      <c r="T65" t="s">
        <v>66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3</v>
      </c>
      <c r="AJ65">
        <v>2</v>
      </c>
      <c r="AK65">
        <v>4</v>
      </c>
      <c r="AL65">
        <v>0</v>
      </c>
      <c r="AM65">
        <v>8</v>
      </c>
      <c r="AN65">
        <v>1</v>
      </c>
      <c r="AO65" t="s">
        <v>68</v>
      </c>
      <c r="AP65" t="s">
        <v>371</v>
      </c>
      <c r="AQ65">
        <v>0.9</v>
      </c>
      <c r="AR65" t="s">
        <v>69</v>
      </c>
      <c r="AS65">
        <v>12</v>
      </c>
      <c r="AT65">
        <v>1</v>
      </c>
      <c r="AU65">
        <v>1.1270000000000001E-2</v>
      </c>
      <c r="AV65">
        <v>-2.2300000000000002E-3</v>
      </c>
      <c r="AW65">
        <v>4.376E-2</v>
      </c>
      <c r="AX65">
        <v>-8.5400000000000007E-3</v>
      </c>
      <c r="AY65">
        <v>1.2800000000000001E-3</v>
      </c>
      <c r="AZ65">
        <v>-3.1E-4</v>
      </c>
      <c r="BA65">
        <v>2.929E-2</v>
      </c>
      <c r="BB65">
        <v>1</v>
      </c>
      <c r="BC65" t="s">
        <v>70</v>
      </c>
      <c r="BD65">
        <v>0.88500000000000001</v>
      </c>
      <c r="BE65">
        <v>0.88500000000000001</v>
      </c>
      <c r="BF65" t="s">
        <v>71</v>
      </c>
      <c r="BG65">
        <v>3.03030303030303E-2</v>
      </c>
      <c r="BI65">
        <v>13</v>
      </c>
      <c r="BJ65">
        <v>2.929E-2</v>
      </c>
      <c r="BK65">
        <v>3.03030303030303E-2</v>
      </c>
    </row>
    <row r="66" spans="1:63">
      <c r="A66">
        <v>118</v>
      </c>
      <c r="B66" t="s">
        <v>372</v>
      </c>
      <c r="D66" t="s">
        <v>60</v>
      </c>
      <c r="E66">
        <v>136992</v>
      </c>
      <c r="F66">
        <v>137276</v>
      </c>
      <c r="G66" t="s">
        <v>374</v>
      </c>
      <c r="H66">
        <v>95</v>
      </c>
      <c r="I66" t="s">
        <v>63</v>
      </c>
      <c r="J66">
        <v>5</v>
      </c>
      <c r="K66" t="str">
        <f>HYPERLINK("Gene118-zp_tree_all.dnd", "Gene118-tree")</f>
        <v>Gene118-tree</v>
      </c>
      <c r="L66">
        <v>5</v>
      </c>
      <c r="M66">
        <v>0</v>
      </c>
      <c r="N66">
        <v>4</v>
      </c>
      <c r="O66">
        <v>0</v>
      </c>
      <c r="P66">
        <v>0</v>
      </c>
      <c r="Q66" t="s">
        <v>135</v>
      </c>
      <c r="R66" t="s">
        <v>66</v>
      </c>
      <c r="S66" t="s">
        <v>66</v>
      </c>
      <c r="T66" t="s">
        <v>66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2</v>
      </c>
      <c r="AJ66">
        <v>1</v>
      </c>
      <c r="AK66">
        <v>4</v>
      </c>
      <c r="AL66">
        <v>0</v>
      </c>
      <c r="AM66">
        <v>0</v>
      </c>
      <c r="AN66">
        <v>1</v>
      </c>
      <c r="AO66" t="s">
        <v>68</v>
      </c>
      <c r="AP66" t="s">
        <v>68</v>
      </c>
      <c r="AQ66">
        <v>0</v>
      </c>
      <c r="AR66" t="s">
        <v>69</v>
      </c>
      <c r="AS66">
        <v>4</v>
      </c>
      <c r="AT66">
        <v>1</v>
      </c>
      <c r="AU66">
        <v>9.3600000000000003E-3</v>
      </c>
      <c r="AV66">
        <v>-2.14E-3</v>
      </c>
      <c r="AW66">
        <v>3.2800000000000003E-2</v>
      </c>
      <c r="AX66">
        <v>-9.5700000000000004E-3</v>
      </c>
      <c r="AY66">
        <v>3.0100000000000001E-3</v>
      </c>
      <c r="AZ66">
        <v>-7.1000000000000002E-4</v>
      </c>
      <c r="BA66">
        <v>9.1819999999999999E-2</v>
      </c>
      <c r="BB66">
        <v>0.97499999999999998</v>
      </c>
      <c r="BC66" t="s">
        <v>70</v>
      </c>
      <c r="BD66">
        <v>1.1240000000000001</v>
      </c>
      <c r="BE66">
        <v>1.1240000000000001</v>
      </c>
      <c r="BF66" t="s">
        <v>71</v>
      </c>
      <c r="BG66">
        <v>8.9285714285714204E-2</v>
      </c>
      <c r="BI66">
        <v>5</v>
      </c>
      <c r="BJ66">
        <v>9.1819999999999999E-2</v>
      </c>
      <c r="BK66">
        <v>8.9285714285714204E-2</v>
      </c>
    </row>
    <row r="67" spans="1:63">
      <c r="A67">
        <v>119</v>
      </c>
      <c r="B67" t="s">
        <v>375</v>
      </c>
      <c r="D67" t="s">
        <v>60</v>
      </c>
      <c r="E67">
        <v>137311</v>
      </c>
      <c r="F67">
        <v>138141</v>
      </c>
      <c r="G67" t="s">
        <v>377</v>
      </c>
      <c r="H67">
        <v>277</v>
      </c>
      <c r="I67" t="s">
        <v>63</v>
      </c>
      <c r="J67">
        <v>5</v>
      </c>
      <c r="K67" t="str">
        <f>HYPERLINK("Gene119-zp_tree_all.dnd", "Gene119-tree")</f>
        <v>Gene119-tree</v>
      </c>
      <c r="L67">
        <v>5</v>
      </c>
      <c r="M67">
        <v>0</v>
      </c>
      <c r="N67">
        <v>4</v>
      </c>
      <c r="O67">
        <v>0</v>
      </c>
      <c r="P67">
        <v>0</v>
      </c>
      <c r="Q67" t="s">
        <v>135</v>
      </c>
      <c r="R67" t="s">
        <v>66</v>
      </c>
      <c r="S67" t="s">
        <v>66</v>
      </c>
      <c r="T67" t="s">
        <v>66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3</v>
      </c>
      <c r="AJ67">
        <v>1</v>
      </c>
      <c r="AK67">
        <v>5</v>
      </c>
      <c r="AL67">
        <v>0</v>
      </c>
      <c r="AM67">
        <v>8</v>
      </c>
      <c r="AN67">
        <v>0</v>
      </c>
      <c r="AO67" t="s">
        <v>68</v>
      </c>
      <c r="AP67" t="s">
        <v>68</v>
      </c>
      <c r="AQ67">
        <v>0</v>
      </c>
      <c r="AR67" t="s">
        <v>69</v>
      </c>
      <c r="AS67">
        <v>13</v>
      </c>
      <c r="AT67">
        <v>0</v>
      </c>
      <c r="AU67">
        <v>9.0299999999999998E-3</v>
      </c>
      <c r="AV67">
        <v>-1.83E-3</v>
      </c>
      <c r="AW67">
        <v>3.805E-2</v>
      </c>
      <c r="AX67">
        <v>-7.7999999999999996E-3</v>
      </c>
      <c r="AY67">
        <v>0</v>
      </c>
      <c r="AZ67">
        <v>0</v>
      </c>
      <c r="BA67">
        <v>0</v>
      </c>
      <c r="BB67">
        <v>1</v>
      </c>
      <c r="BC67" t="s">
        <v>70</v>
      </c>
      <c r="BD67">
        <v>1.0549999999999999</v>
      </c>
      <c r="BE67">
        <v>0.55200000000000005</v>
      </c>
      <c r="BF67" t="s">
        <v>71</v>
      </c>
      <c r="BG67">
        <v>-2.1857923497267701E-2</v>
      </c>
      <c r="BI67">
        <v>13</v>
      </c>
      <c r="BJ67">
        <v>0</v>
      </c>
      <c r="BK67">
        <v>-2.1857923497267701E-2</v>
      </c>
    </row>
    <row r="68" spans="1:63">
      <c r="A68">
        <v>122</v>
      </c>
      <c r="B68" t="s">
        <v>384</v>
      </c>
      <c r="D68" t="s">
        <v>60</v>
      </c>
      <c r="E68">
        <v>138842</v>
      </c>
      <c r="F68">
        <v>139495</v>
      </c>
      <c r="G68" t="s">
        <v>386</v>
      </c>
      <c r="H68">
        <v>218</v>
      </c>
      <c r="I68" t="s">
        <v>63</v>
      </c>
      <c r="J68">
        <v>5</v>
      </c>
      <c r="K68" t="str">
        <f>HYPERLINK("Gene122-zp_tree_all.dnd", "Gene122-tree")</f>
        <v>Gene122-tree</v>
      </c>
      <c r="L68">
        <v>4</v>
      </c>
      <c r="M68">
        <v>1</v>
      </c>
      <c r="N68">
        <v>4</v>
      </c>
      <c r="O68">
        <v>1</v>
      </c>
      <c r="P68">
        <v>0.2</v>
      </c>
      <c r="Q68" t="s">
        <v>64</v>
      </c>
      <c r="R68" t="s">
        <v>65</v>
      </c>
      <c r="S68" t="s">
        <v>66</v>
      </c>
      <c r="T68" t="s">
        <v>66</v>
      </c>
      <c r="U68">
        <v>0</v>
      </c>
      <c r="V68">
        <v>0</v>
      </c>
      <c r="W68">
        <v>2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3</v>
      </c>
      <c r="AJ68">
        <v>2</v>
      </c>
      <c r="AK68">
        <v>2</v>
      </c>
      <c r="AL68">
        <v>1</v>
      </c>
      <c r="AM68">
        <v>8</v>
      </c>
      <c r="AN68">
        <v>1</v>
      </c>
      <c r="AO68" t="s">
        <v>387</v>
      </c>
      <c r="AP68" t="s">
        <v>388</v>
      </c>
      <c r="AQ68">
        <v>0.51100000000000001</v>
      </c>
      <c r="AR68" t="s">
        <v>69</v>
      </c>
      <c r="AS68">
        <v>10</v>
      </c>
      <c r="AT68">
        <v>2</v>
      </c>
      <c r="AU68">
        <v>1.009E-2</v>
      </c>
      <c r="AV68">
        <v>-1.9499999999999999E-3</v>
      </c>
      <c r="AW68">
        <v>3.6549999999999999E-2</v>
      </c>
      <c r="AX68">
        <v>-6.9899999999999997E-3</v>
      </c>
      <c r="AY68">
        <v>2.0200000000000001E-3</v>
      </c>
      <c r="AZ68">
        <v>-4.0000000000000002E-4</v>
      </c>
      <c r="BA68">
        <v>5.534E-2</v>
      </c>
      <c r="BB68">
        <v>1</v>
      </c>
      <c r="BC68" t="s">
        <v>70</v>
      </c>
      <c r="BD68">
        <v>1.0549999999999999</v>
      </c>
      <c r="BE68">
        <v>1.0549999999999999</v>
      </c>
      <c r="BF68" t="s">
        <v>71</v>
      </c>
      <c r="BG68">
        <v>6.8965517241379296E-2</v>
      </c>
      <c r="BI68">
        <v>12</v>
      </c>
      <c r="BJ68">
        <v>5.534E-2</v>
      </c>
      <c r="BK68">
        <v>6.8965517241379296E-2</v>
      </c>
    </row>
    <row r="69" spans="1:63">
      <c r="A69">
        <v>130</v>
      </c>
      <c r="B69" t="s">
        <v>410</v>
      </c>
      <c r="D69" t="s">
        <v>60</v>
      </c>
      <c r="E69">
        <v>141974</v>
      </c>
      <c r="F69">
        <v>142369</v>
      </c>
      <c r="G69" t="s">
        <v>412</v>
      </c>
      <c r="H69">
        <v>132</v>
      </c>
      <c r="I69" t="s">
        <v>63</v>
      </c>
      <c r="J69">
        <v>5</v>
      </c>
      <c r="K69" t="str">
        <f>HYPERLINK("Gene130-zp_tree_all.dnd", "Gene130-tree")</f>
        <v>Gene130-tree</v>
      </c>
      <c r="L69">
        <v>4</v>
      </c>
      <c r="M69">
        <v>1</v>
      </c>
      <c r="N69">
        <v>4</v>
      </c>
      <c r="O69">
        <v>1</v>
      </c>
      <c r="P69">
        <v>0.2</v>
      </c>
      <c r="Q69" t="s">
        <v>64</v>
      </c>
      <c r="R69" t="s">
        <v>65</v>
      </c>
      <c r="S69" t="s">
        <v>66</v>
      </c>
      <c r="T69" t="s">
        <v>66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3</v>
      </c>
      <c r="AJ69">
        <v>1</v>
      </c>
      <c r="AK69">
        <v>3</v>
      </c>
      <c r="AL69">
        <v>1</v>
      </c>
      <c r="AM69">
        <v>1</v>
      </c>
      <c r="AN69">
        <v>0</v>
      </c>
      <c r="AO69" t="s">
        <v>413</v>
      </c>
      <c r="AP69" t="s">
        <v>68</v>
      </c>
      <c r="AQ69">
        <v>0.86599999999999999</v>
      </c>
      <c r="AR69" t="s">
        <v>69</v>
      </c>
      <c r="AS69">
        <v>4</v>
      </c>
      <c r="AT69">
        <v>1</v>
      </c>
      <c r="AU69">
        <v>5.5599999999999998E-3</v>
      </c>
      <c r="AV69">
        <v>-7.7999999999999999E-4</v>
      </c>
      <c r="AW69">
        <v>1.9779999999999999E-2</v>
      </c>
      <c r="AX69">
        <v>-2.63E-3</v>
      </c>
      <c r="AY69">
        <v>1.32E-3</v>
      </c>
      <c r="AZ69">
        <v>-4.6000000000000001E-4</v>
      </c>
      <c r="BA69">
        <v>6.6739999999999994E-2</v>
      </c>
      <c r="BB69">
        <v>0.98699999999999999</v>
      </c>
      <c r="BC69" t="s">
        <v>70</v>
      </c>
      <c r="BD69">
        <v>-0.56200000000000006</v>
      </c>
      <c r="BE69">
        <v>-0.56200000000000006</v>
      </c>
      <c r="BF69" t="s">
        <v>71</v>
      </c>
      <c r="BG69">
        <v>0.105590062111801</v>
      </c>
      <c r="BI69">
        <v>5</v>
      </c>
      <c r="BJ69">
        <v>6.6739999999999994E-2</v>
      </c>
      <c r="BK69">
        <v>0.105590062111801</v>
      </c>
    </row>
    <row r="70" spans="1:63">
      <c r="A70">
        <v>131</v>
      </c>
      <c r="B70" t="s">
        <v>414</v>
      </c>
      <c r="D70" t="s">
        <v>60</v>
      </c>
      <c r="E70">
        <v>142402</v>
      </c>
      <c r="F70">
        <v>142938</v>
      </c>
      <c r="G70" t="s">
        <v>416</v>
      </c>
      <c r="H70">
        <v>179</v>
      </c>
      <c r="I70" t="s">
        <v>63</v>
      </c>
      <c r="J70">
        <v>5</v>
      </c>
      <c r="K70" t="str">
        <f>HYPERLINK("Gene131-zp_tree_all.dnd", "Gene131-tree")</f>
        <v>Gene131-tree</v>
      </c>
      <c r="L70">
        <v>2</v>
      </c>
      <c r="M70">
        <v>3</v>
      </c>
      <c r="N70">
        <v>2</v>
      </c>
      <c r="O70">
        <v>2</v>
      </c>
      <c r="P70">
        <v>0.5</v>
      </c>
      <c r="Q70" t="s">
        <v>124</v>
      </c>
      <c r="R70" t="s">
        <v>185</v>
      </c>
      <c r="S70">
        <v>0.30599999999999999</v>
      </c>
      <c r="T70" t="s">
        <v>69</v>
      </c>
      <c r="U70">
        <v>0</v>
      </c>
      <c r="V70">
        <v>0</v>
      </c>
      <c r="W70">
        <v>3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</v>
      </c>
      <c r="AH70">
        <v>0</v>
      </c>
      <c r="AI70">
        <v>3</v>
      </c>
      <c r="AJ70">
        <v>1</v>
      </c>
      <c r="AK70">
        <v>11</v>
      </c>
      <c r="AL70">
        <v>1</v>
      </c>
      <c r="AM70">
        <v>6</v>
      </c>
      <c r="AN70">
        <v>2</v>
      </c>
      <c r="AO70" t="s">
        <v>417</v>
      </c>
      <c r="AP70" t="s">
        <v>418</v>
      </c>
      <c r="AQ70">
        <v>2.0209999999999999</v>
      </c>
      <c r="AR70" t="s">
        <v>69</v>
      </c>
      <c r="AS70">
        <v>17</v>
      </c>
      <c r="AT70">
        <v>3</v>
      </c>
      <c r="AU70">
        <v>2.1100000000000001E-2</v>
      </c>
      <c r="AV70">
        <v>-3.4199999999999999E-3</v>
      </c>
      <c r="AW70">
        <v>7.5620000000000007E-2</v>
      </c>
      <c r="AX70">
        <v>-1.265E-2</v>
      </c>
      <c r="AY70">
        <v>4.5599999999999998E-3</v>
      </c>
      <c r="AZ70">
        <v>-1.08E-3</v>
      </c>
      <c r="BA70">
        <v>6.028E-2</v>
      </c>
      <c r="BB70">
        <v>1</v>
      </c>
      <c r="BC70" t="s">
        <v>70</v>
      </c>
      <c r="BD70">
        <v>0</v>
      </c>
      <c r="BE70">
        <v>0</v>
      </c>
      <c r="BF70" t="s">
        <v>71</v>
      </c>
      <c r="BG70">
        <v>0.11688311688311601</v>
      </c>
      <c r="BI70">
        <v>20</v>
      </c>
      <c r="BJ70">
        <v>6.028E-2</v>
      </c>
      <c r="BK70">
        <v>0.11688311688311601</v>
      </c>
    </row>
    <row r="71" spans="1:63">
      <c r="A71">
        <v>134</v>
      </c>
      <c r="B71" t="s">
        <v>425</v>
      </c>
      <c r="D71" t="s">
        <v>60</v>
      </c>
      <c r="E71">
        <v>143875</v>
      </c>
      <c r="F71">
        <v>144051</v>
      </c>
      <c r="G71" t="s">
        <v>427</v>
      </c>
      <c r="H71">
        <v>59</v>
      </c>
      <c r="I71" t="s">
        <v>63</v>
      </c>
      <c r="J71">
        <v>5</v>
      </c>
      <c r="K71" t="str">
        <f>HYPERLINK("Gene134-zp_tree_all.dnd", "Gene134-tree")</f>
        <v>Gene134-tree</v>
      </c>
      <c r="L71">
        <v>5</v>
      </c>
      <c r="M71">
        <v>0</v>
      </c>
      <c r="N71">
        <v>5</v>
      </c>
      <c r="O71">
        <v>0</v>
      </c>
      <c r="P71">
        <v>0</v>
      </c>
      <c r="Q71" t="s">
        <v>96</v>
      </c>
      <c r="R71" t="s">
        <v>66</v>
      </c>
      <c r="S71" t="s">
        <v>66</v>
      </c>
      <c r="T71" t="s">
        <v>66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3</v>
      </c>
      <c r="AJ71">
        <v>1</v>
      </c>
      <c r="AK71">
        <v>3</v>
      </c>
      <c r="AL71">
        <v>0</v>
      </c>
      <c r="AM71">
        <v>2</v>
      </c>
      <c r="AN71">
        <v>0</v>
      </c>
      <c r="AO71" t="s">
        <v>68</v>
      </c>
      <c r="AP71" t="s">
        <v>68</v>
      </c>
      <c r="AQ71">
        <v>0</v>
      </c>
      <c r="AR71" t="s">
        <v>69</v>
      </c>
      <c r="AS71">
        <v>5</v>
      </c>
      <c r="AT71">
        <v>0</v>
      </c>
      <c r="AU71">
        <v>1.3559999999999999E-2</v>
      </c>
      <c r="AV71">
        <v>-1.99E-3</v>
      </c>
      <c r="AW71">
        <v>6.2600000000000003E-2</v>
      </c>
      <c r="AX71">
        <v>-9.4999999999999998E-3</v>
      </c>
      <c r="AY71">
        <v>0</v>
      </c>
      <c r="AZ71">
        <v>0</v>
      </c>
      <c r="BA71">
        <v>0</v>
      </c>
      <c r="BB71">
        <v>1</v>
      </c>
      <c r="BC71" t="s">
        <v>70</v>
      </c>
      <c r="BD71">
        <v>0</v>
      </c>
      <c r="BE71">
        <v>0</v>
      </c>
      <c r="BF71" t="s">
        <v>71</v>
      </c>
      <c r="BG71">
        <v>1.4925373134328301E-2</v>
      </c>
      <c r="BI71">
        <v>5</v>
      </c>
      <c r="BJ71">
        <v>0</v>
      </c>
      <c r="BK71">
        <v>1.4925373134328301E-2</v>
      </c>
    </row>
    <row r="72" spans="1:63">
      <c r="A72">
        <v>135</v>
      </c>
      <c r="B72" t="s">
        <v>428</v>
      </c>
      <c r="D72" t="s">
        <v>60</v>
      </c>
      <c r="E72">
        <v>144085</v>
      </c>
      <c r="F72">
        <v>144522</v>
      </c>
      <c r="G72" t="s">
        <v>430</v>
      </c>
      <c r="H72">
        <v>146</v>
      </c>
      <c r="I72" t="s">
        <v>63</v>
      </c>
      <c r="J72">
        <v>5</v>
      </c>
      <c r="K72" t="str">
        <f>HYPERLINK("Gene135-zp_tree_all.dnd", "Gene135-tree")</f>
        <v>Gene135-tree</v>
      </c>
      <c r="L72">
        <v>5</v>
      </c>
      <c r="M72">
        <v>0</v>
      </c>
      <c r="N72">
        <v>4</v>
      </c>
      <c r="O72">
        <v>0</v>
      </c>
      <c r="P72">
        <v>0</v>
      </c>
      <c r="Q72" t="s">
        <v>135</v>
      </c>
      <c r="R72" t="s">
        <v>66</v>
      </c>
      <c r="S72" t="s">
        <v>66</v>
      </c>
      <c r="T72" t="s">
        <v>66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</v>
      </c>
      <c r="AJ72">
        <v>1</v>
      </c>
      <c r="AK72">
        <v>2</v>
      </c>
      <c r="AL72">
        <v>0</v>
      </c>
      <c r="AM72">
        <v>1</v>
      </c>
      <c r="AN72">
        <v>0</v>
      </c>
      <c r="AO72" t="s">
        <v>68</v>
      </c>
      <c r="AP72" t="s">
        <v>68</v>
      </c>
      <c r="AQ72">
        <v>0</v>
      </c>
      <c r="AR72" t="s">
        <v>69</v>
      </c>
      <c r="AS72">
        <v>3</v>
      </c>
      <c r="AT72">
        <v>0</v>
      </c>
      <c r="AU72">
        <v>3.81E-3</v>
      </c>
      <c r="AV72">
        <v>-6.8999999999999997E-4</v>
      </c>
      <c r="AW72">
        <v>1.575E-2</v>
      </c>
      <c r="AX72">
        <v>-2.9099999999999998E-3</v>
      </c>
      <c r="AY72">
        <v>0</v>
      </c>
      <c r="AZ72">
        <v>0</v>
      </c>
      <c r="BA72">
        <v>0</v>
      </c>
      <c r="BB72">
        <v>1</v>
      </c>
      <c r="BC72" t="s">
        <v>70</v>
      </c>
      <c r="BD72">
        <v>-0.17499999999999999</v>
      </c>
      <c r="BE72">
        <v>-0.17499999999999999</v>
      </c>
      <c r="BF72" t="s">
        <v>71</v>
      </c>
      <c r="BG72">
        <v>0.103092783505154</v>
      </c>
      <c r="BI72">
        <v>3</v>
      </c>
      <c r="BJ72">
        <v>0</v>
      </c>
      <c r="BK72">
        <v>0.103092783505154</v>
      </c>
    </row>
    <row r="73" spans="1:63">
      <c r="A73">
        <v>136</v>
      </c>
      <c r="B73" t="s">
        <v>431</v>
      </c>
      <c r="D73" t="s">
        <v>60</v>
      </c>
      <c r="E73">
        <v>144527</v>
      </c>
      <c r="F73">
        <v>145819</v>
      </c>
      <c r="G73" t="s">
        <v>433</v>
      </c>
      <c r="H73">
        <v>431</v>
      </c>
      <c r="I73" t="s">
        <v>63</v>
      </c>
      <c r="J73">
        <v>5</v>
      </c>
      <c r="K73" t="str">
        <f>HYPERLINK("Gene136-zp_tree_all.dnd", "Gene136-tree")</f>
        <v>Gene136-tree</v>
      </c>
      <c r="L73">
        <v>4</v>
      </c>
      <c r="M73">
        <v>1</v>
      </c>
      <c r="N73">
        <v>4</v>
      </c>
      <c r="O73">
        <v>1</v>
      </c>
      <c r="P73">
        <v>0.2</v>
      </c>
      <c r="Q73" t="s">
        <v>64</v>
      </c>
      <c r="R73" t="s">
        <v>65</v>
      </c>
      <c r="S73" t="s">
        <v>66</v>
      </c>
      <c r="T73" t="s">
        <v>66</v>
      </c>
      <c r="U73">
        <v>0</v>
      </c>
      <c r="V73">
        <v>0</v>
      </c>
      <c r="W73">
        <v>5</v>
      </c>
      <c r="X73">
        <v>0</v>
      </c>
      <c r="Y73">
        <v>0</v>
      </c>
      <c r="Z73">
        <v>0</v>
      </c>
      <c r="AA73">
        <v>0</v>
      </c>
      <c r="AB73">
        <v>4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4</v>
      </c>
      <c r="AJ73">
        <v>2</v>
      </c>
      <c r="AK73">
        <v>11</v>
      </c>
      <c r="AL73">
        <v>1</v>
      </c>
      <c r="AM73">
        <v>13</v>
      </c>
      <c r="AN73">
        <v>4</v>
      </c>
      <c r="AO73" t="s">
        <v>434</v>
      </c>
      <c r="AP73" t="s">
        <v>435</v>
      </c>
      <c r="AQ73">
        <v>0.58699999999999997</v>
      </c>
      <c r="AR73" t="s">
        <v>69</v>
      </c>
      <c r="AS73">
        <v>24</v>
      </c>
      <c r="AT73">
        <v>5</v>
      </c>
      <c r="AU73">
        <v>1.137E-2</v>
      </c>
      <c r="AV73">
        <v>-2.0699999999999998E-3</v>
      </c>
      <c r="AW73">
        <v>3.986E-2</v>
      </c>
      <c r="AX73">
        <v>-7.0299999999999998E-3</v>
      </c>
      <c r="AY73">
        <v>2.8500000000000001E-3</v>
      </c>
      <c r="AZ73">
        <v>-6.8999999999999997E-4</v>
      </c>
      <c r="BA73">
        <v>7.1609999999999993E-2</v>
      </c>
      <c r="BB73">
        <v>1</v>
      </c>
      <c r="BC73" t="s">
        <v>70</v>
      </c>
      <c r="BD73">
        <v>0.7</v>
      </c>
      <c r="BE73">
        <v>0.42199999999999999</v>
      </c>
      <c r="BF73" t="s">
        <v>71</v>
      </c>
      <c r="BG73">
        <v>7.9482439926062798E-2</v>
      </c>
      <c r="BI73">
        <v>29</v>
      </c>
      <c r="BJ73">
        <v>7.1609999999999993E-2</v>
      </c>
      <c r="BK73">
        <v>7.9482439926062798E-2</v>
      </c>
    </row>
    <row r="74" spans="1:63">
      <c r="A74">
        <v>137</v>
      </c>
      <c r="B74" t="s">
        <v>436</v>
      </c>
      <c r="D74" t="s">
        <v>60</v>
      </c>
      <c r="E74">
        <v>145877</v>
      </c>
      <c r="F74">
        <v>146527</v>
      </c>
      <c r="G74" t="s">
        <v>438</v>
      </c>
      <c r="H74">
        <v>217</v>
      </c>
      <c r="I74" t="s">
        <v>63</v>
      </c>
      <c r="J74">
        <v>5</v>
      </c>
      <c r="K74" t="str">
        <f>HYPERLINK("Gene137-zp_tree_all.dnd", "Gene137-tree")</f>
        <v>Gene137-tree</v>
      </c>
      <c r="L74">
        <v>4</v>
      </c>
      <c r="M74">
        <v>1</v>
      </c>
      <c r="N74">
        <v>4</v>
      </c>
      <c r="O74">
        <v>1</v>
      </c>
      <c r="P74">
        <v>0.2</v>
      </c>
      <c r="Q74" t="s">
        <v>64</v>
      </c>
      <c r="R74" t="s">
        <v>65</v>
      </c>
      <c r="S74" t="s">
        <v>66</v>
      </c>
      <c r="T74" t="s">
        <v>66</v>
      </c>
      <c r="U74">
        <v>0</v>
      </c>
      <c r="V74">
        <v>0</v>
      </c>
      <c r="W74">
        <v>2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4</v>
      </c>
      <c r="AJ74">
        <v>2</v>
      </c>
      <c r="AK74">
        <v>7</v>
      </c>
      <c r="AL74">
        <v>1</v>
      </c>
      <c r="AM74">
        <v>6</v>
      </c>
      <c r="AN74">
        <v>1</v>
      </c>
      <c r="AO74" t="s">
        <v>439</v>
      </c>
      <c r="AP74" t="s">
        <v>440</v>
      </c>
      <c r="AQ74">
        <v>7.6999999999999999E-2</v>
      </c>
      <c r="AR74" t="s">
        <v>69</v>
      </c>
      <c r="AS74">
        <v>13</v>
      </c>
      <c r="AT74">
        <v>2</v>
      </c>
      <c r="AU74">
        <v>1.137E-2</v>
      </c>
      <c r="AV74">
        <v>-1.7099999999999999E-3</v>
      </c>
      <c r="AW74">
        <v>4.4319999999999998E-2</v>
      </c>
      <c r="AX74">
        <v>-6.79E-3</v>
      </c>
      <c r="AY74">
        <v>2E-3</v>
      </c>
      <c r="AZ74">
        <v>-3.5E-4</v>
      </c>
      <c r="BA74">
        <v>4.5100000000000001E-2</v>
      </c>
      <c r="BB74">
        <v>1</v>
      </c>
      <c r="BC74" t="s">
        <v>70</v>
      </c>
      <c r="BD74">
        <v>0.20300000000000001</v>
      </c>
      <c r="BE74">
        <v>0.20300000000000001</v>
      </c>
      <c r="BF74" t="s">
        <v>71</v>
      </c>
      <c r="BG74">
        <v>0.159010600706713</v>
      </c>
      <c r="BI74">
        <v>15</v>
      </c>
      <c r="BJ74">
        <v>4.5100000000000001E-2</v>
      </c>
      <c r="BK74">
        <v>0.159010600706713</v>
      </c>
    </row>
    <row r="75" spans="1:63">
      <c r="A75">
        <v>144</v>
      </c>
      <c r="B75" t="s">
        <v>456</v>
      </c>
      <c r="D75" t="s">
        <v>60</v>
      </c>
      <c r="E75">
        <v>148931</v>
      </c>
      <c r="F75">
        <v>149872</v>
      </c>
      <c r="G75" t="s">
        <v>458</v>
      </c>
      <c r="H75">
        <v>314</v>
      </c>
      <c r="I75" t="s">
        <v>63</v>
      </c>
      <c r="J75">
        <v>5</v>
      </c>
      <c r="K75" t="str">
        <f>HYPERLINK("Gene144-zp_tree_all.dnd", "Gene144-tree")</f>
        <v>Gene144-tree</v>
      </c>
      <c r="L75">
        <v>5</v>
      </c>
      <c r="M75">
        <v>0</v>
      </c>
      <c r="N75">
        <v>4</v>
      </c>
      <c r="O75">
        <v>0</v>
      </c>
      <c r="P75">
        <v>0</v>
      </c>
      <c r="Q75" t="s">
        <v>135</v>
      </c>
      <c r="R75" t="s">
        <v>66</v>
      </c>
      <c r="S75" t="s">
        <v>66</v>
      </c>
      <c r="T75" t="s">
        <v>66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2</v>
      </c>
      <c r="AJ75">
        <v>1</v>
      </c>
      <c r="AK75">
        <v>7</v>
      </c>
      <c r="AL75">
        <v>0</v>
      </c>
      <c r="AM75">
        <v>4</v>
      </c>
      <c r="AN75">
        <v>0</v>
      </c>
      <c r="AO75" t="s">
        <v>68</v>
      </c>
      <c r="AP75" t="s">
        <v>68</v>
      </c>
      <c r="AQ75">
        <v>0</v>
      </c>
      <c r="AR75" t="s">
        <v>69</v>
      </c>
      <c r="AS75">
        <v>11</v>
      </c>
      <c r="AT75">
        <v>0</v>
      </c>
      <c r="AU75">
        <v>6.5500000000000003E-3</v>
      </c>
      <c r="AV75">
        <v>-1.31E-3</v>
      </c>
      <c r="AW75">
        <v>2.86E-2</v>
      </c>
      <c r="AX75">
        <v>-5.8300000000000001E-3</v>
      </c>
      <c r="AY75">
        <v>0</v>
      </c>
      <c r="AZ75">
        <v>0</v>
      </c>
      <c r="BA75">
        <v>0</v>
      </c>
      <c r="BB75">
        <v>1</v>
      </c>
      <c r="BC75" t="s">
        <v>70</v>
      </c>
      <c r="BD75">
        <v>-0.109</v>
      </c>
      <c r="BE75">
        <v>-0.109</v>
      </c>
      <c r="BF75" t="s">
        <v>71</v>
      </c>
      <c r="BG75">
        <v>0.10886075949367</v>
      </c>
      <c r="BI75">
        <v>11</v>
      </c>
      <c r="BJ75">
        <v>0</v>
      </c>
      <c r="BK75">
        <v>0.10886075949367</v>
      </c>
    </row>
    <row r="76" spans="1:63">
      <c r="A76">
        <v>145</v>
      </c>
      <c r="B76" t="s">
        <v>459</v>
      </c>
      <c r="D76" t="s">
        <v>60</v>
      </c>
      <c r="E76">
        <v>149953</v>
      </c>
      <c r="F76">
        <v>150312</v>
      </c>
      <c r="G76" t="s">
        <v>461</v>
      </c>
      <c r="H76">
        <v>120</v>
      </c>
      <c r="I76" t="s">
        <v>63</v>
      </c>
      <c r="J76">
        <v>5</v>
      </c>
      <c r="K76" t="str">
        <f>HYPERLINK("Gene145-zp_tree_all.dnd", "Gene145-tree")</f>
        <v>Gene145-tree</v>
      </c>
      <c r="L76">
        <v>5</v>
      </c>
      <c r="M76">
        <v>0</v>
      </c>
      <c r="N76">
        <v>4</v>
      </c>
      <c r="O76">
        <v>0</v>
      </c>
      <c r="P76">
        <v>0</v>
      </c>
      <c r="Q76" t="s">
        <v>135</v>
      </c>
      <c r="R76" t="s">
        <v>66</v>
      </c>
      <c r="S76" t="s">
        <v>66</v>
      </c>
      <c r="T76" t="s">
        <v>66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3</v>
      </c>
      <c r="AJ76">
        <v>1</v>
      </c>
      <c r="AK76">
        <v>3</v>
      </c>
      <c r="AL76">
        <v>0</v>
      </c>
      <c r="AM76">
        <v>1</v>
      </c>
      <c r="AN76">
        <v>0</v>
      </c>
      <c r="AO76" t="s">
        <v>68</v>
      </c>
      <c r="AP76" t="s">
        <v>68</v>
      </c>
      <c r="AQ76">
        <v>0</v>
      </c>
      <c r="AR76" t="s">
        <v>69</v>
      </c>
      <c r="AS76">
        <v>4</v>
      </c>
      <c r="AT76">
        <v>0</v>
      </c>
      <c r="AU76">
        <v>6.0200000000000002E-3</v>
      </c>
      <c r="AV76">
        <v>-7.7999999999999999E-4</v>
      </c>
      <c r="AW76">
        <v>2.5669999999999998E-2</v>
      </c>
      <c r="AX76">
        <v>-3.3700000000000002E-3</v>
      </c>
      <c r="AY76">
        <v>0</v>
      </c>
      <c r="AZ76">
        <v>0</v>
      </c>
      <c r="BA76">
        <v>0</v>
      </c>
      <c r="BB76">
        <v>1</v>
      </c>
      <c r="BC76" t="s">
        <v>70</v>
      </c>
      <c r="BD76">
        <v>0.27300000000000002</v>
      </c>
      <c r="BE76">
        <v>0.27300000000000002</v>
      </c>
      <c r="BF76" t="s">
        <v>71</v>
      </c>
      <c r="BG76">
        <v>6.2111801242236003E-3</v>
      </c>
      <c r="BI76">
        <v>4</v>
      </c>
      <c r="BJ76">
        <v>0</v>
      </c>
      <c r="BK76">
        <v>6.2111801242236003E-3</v>
      </c>
    </row>
    <row r="77" spans="1:63">
      <c r="A77">
        <v>146</v>
      </c>
      <c r="B77" t="s">
        <v>462</v>
      </c>
      <c r="D77" t="s">
        <v>60</v>
      </c>
      <c r="E77">
        <v>150443</v>
      </c>
      <c r="F77">
        <v>151285</v>
      </c>
      <c r="G77" t="s">
        <v>464</v>
      </c>
      <c r="H77">
        <v>281</v>
      </c>
      <c r="I77" t="s">
        <v>63</v>
      </c>
      <c r="J77">
        <v>5</v>
      </c>
      <c r="K77" t="str">
        <f>HYPERLINK("Gene146-zp_tree_all.dnd", "Gene146-tree")</f>
        <v>Gene146-tree</v>
      </c>
      <c r="L77">
        <v>3</v>
      </c>
      <c r="M77">
        <v>2</v>
      </c>
      <c r="N77">
        <v>3</v>
      </c>
      <c r="O77">
        <v>2</v>
      </c>
      <c r="P77">
        <v>0.4</v>
      </c>
      <c r="Q77" t="s">
        <v>86</v>
      </c>
      <c r="R77" t="s">
        <v>124</v>
      </c>
      <c r="S77" t="s">
        <v>66</v>
      </c>
      <c r="T77" t="s">
        <v>66</v>
      </c>
      <c r="U77">
        <v>0</v>
      </c>
      <c r="V77">
        <v>0</v>
      </c>
      <c r="W77">
        <v>4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3</v>
      </c>
      <c r="AH77">
        <v>0</v>
      </c>
      <c r="AI77">
        <v>4</v>
      </c>
      <c r="AJ77">
        <v>1</v>
      </c>
      <c r="AK77">
        <v>11</v>
      </c>
      <c r="AL77">
        <v>3</v>
      </c>
      <c r="AM77">
        <v>17</v>
      </c>
      <c r="AN77">
        <v>1</v>
      </c>
      <c r="AO77" t="s">
        <v>465</v>
      </c>
      <c r="AP77" t="s">
        <v>466</v>
      </c>
      <c r="AQ77">
        <v>0.88900000000000001</v>
      </c>
      <c r="AR77" t="s">
        <v>69</v>
      </c>
      <c r="AS77">
        <v>28</v>
      </c>
      <c r="AT77">
        <v>4</v>
      </c>
      <c r="AU77">
        <v>1.9220000000000001E-2</v>
      </c>
      <c r="AV77">
        <v>-3.8400000000000001E-3</v>
      </c>
      <c r="AW77">
        <v>8.2189999999999999E-2</v>
      </c>
      <c r="AX77">
        <v>-1.72E-2</v>
      </c>
      <c r="AY77">
        <v>2.7599999999999999E-3</v>
      </c>
      <c r="AZ77">
        <v>-5.6999999999999998E-4</v>
      </c>
      <c r="BA77">
        <v>3.3590000000000002E-2</v>
      </c>
      <c r="BB77">
        <v>1</v>
      </c>
      <c r="BC77" t="s">
        <v>70</v>
      </c>
      <c r="BD77">
        <v>0.66400000000000003</v>
      </c>
      <c r="BE77">
        <v>0.66400000000000003</v>
      </c>
      <c r="BF77" t="s">
        <v>71</v>
      </c>
      <c r="BG77">
        <v>0.22222222222222199</v>
      </c>
      <c r="BI77">
        <v>32</v>
      </c>
      <c r="BJ77">
        <v>3.3590000000000002E-2</v>
      </c>
      <c r="BK77">
        <v>0.22222222222222199</v>
      </c>
    </row>
    <row r="78" spans="1:63">
      <c r="A78">
        <v>146</v>
      </c>
      <c r="B78" t="s">
        <v>462</v>
      </c>
      <c r="D78" t="s">
        <v>60</v>
      </c>
      <c r="E78">
        <v>150443</v>
      </c>
      <c r="F78">
        <v>151285</v>
      </c>
      <c r="G78" t="s">
        <v>464</v>
      </c>
      <c r="H78">
        <v>281</v>
      </c>
      <c r="I78" t="s">
        <v>63</v>
      </c>
      <c r="J78">
        <v>5</v>
      </c>
      <c r="K78" t="str">
        <f>HYPERLINK("Gene146-zp_tree_all.dnd", "Gene146-tree")</f>
        <v>Gene146-tree</v>
      </c>
      <c r="L78">
        <v>3</v>
      </c>
      <c r="M78">
        <v>2</v>
      </c>
      <c r="N78">
        <v>3</v>
      </c>
      <c r="O78">
        <v>2</v>
      </c>
      <c r="P78">
        <v>0.4</v>
      </c>
      <c r="Q78" t="s">
        <v>86</v>
      </c>
      <c r="R78" t="s">
        <v>124</v>
      </c>
      <c r="S78" t="s">
        <v>66</v>
      </c>
      <c r="T78" t="s">
        <v>66</v>
      </c>
      <c r="U78">
        <v>0</v>
      </c>
      <c r="V78">
        <v>0</v>
      </c>
      <c r="W78">
        <v>4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3</v>
      </c>
      <c r="AH78">
        <v>0</v>
      </c>
      <c r="AI78">
        <v>4</v>
      </c>
      <c r="AJ78">
        <v>1</v>
      </c>
      <c r="AK78">
        <v>11</v>
      </c>
      <c r="AL78">
        <v>3</v>
      </c>
      <c r="AM78">
        <v>17</v>
      </c>
      <c r="AN78">
        <v>1</v>
      </c>
      <c r="AO78" t="s">
        <v>465</v>
      </c>
      <c r="AP78" t="s">
        <v>466</v>
      </c>
      <c r="AQ78">
        <v>0.88900000000000001</v>
      </c>
      <c r="AR78" t="s">
        <v>69</v>
      </c>
      <c r="AS78">
        <v>28</v>
      </c>
      <c r="AT78">
        <v>4</v>
      </c>
      <c r="AU78">
        <v>1.9220000000000001E-2</v>
      </c>
      <c r="AV78">
        <v>-3.8400000000000001E-3</v>
      </c>
      <c r="AW78">
        <v>8.2189999999999999E-2</v>
      </c>
      <c r="AX78">
        <v>-1.72E-2</v>
      </c>
      <c r="AY78">
        <v>2.7599999999999999E-3</v>
      </c>
      <c r="AZ78">
        <v>-5.6999999999999998E-4</v>
      </c>
      <c r="BA78">
        <v>3.3590000000000002E-2</v>
      </c>
      <c r="BB78">
        <v>1</v>
      </c>
      <c r="BC78" t="s">
        <v>70</v>
      </c>
      <c r="BD78">
        <v>0.66400000000000003</v>
      </c>
      <c r="BE78">
        <v>0.66400000000000003</v>
      </c>
      <c r="BF78" t="s">
        <v>71</v>
      </c>
      <c r="BG78">
        <v>0.22222222222222199</v>
      </c>
      <c r="BI78">
        <v>32</v>
      </c>
      <c r="BJ78">
        <v>3.3590000000000002E-2</v>
      </c>
      <c r="BK78">
        <v>0.22222222222222199</v>
      </c>
    </row>
    <row r="79" spans="1:63">
      <c r="A79">
        <v>149</v>
      </c>
      <c r="B79" t="s">
        <v>467</v>
      </c>
      <c r="D79" t="s">
        <v>60</v>
      </c>
      <c r="E79">
        <v>152937</v>
      </c>
      <c r="F79">
        <v>153677</v>
      </c>
      <c r="G79" t="s">
        <v>469</v>
      </c>
      <c r="H79">
        <v>247</v>
      </c>
      <c r="I79" t="s">
        <v>63</v>
      </c>
      <c r="J79">
        <v>5</v>
      </c>
      <c r="K79" t="str">
        <f>HYPERLINK("Gene149-zp_tree_all.dnd", "Gene149-tree")</f>
        <v>Gene149-tree</v>
      </c>
      <c r="L79">
        <v>3</v>
      </c>
      <c r="M79">
        <v>2</v>
      </c>
      <c r="N79">
        <v>3</v>
      </c>
      <c r="O79">
        <v>2</v>
      </c>
      <c r="P79">
        <v>0.4</v>
      </c>
      <c r="Q79" t="s">
        <v>86</v>
      </c>
      <c r="R79" t="s">
        <v>124</v>
      </c>
      <c r="S79" t="s">
        <v>66</v>
      </c>
      <c r="T79" t="s">
        <v>66</v>
      </c>
      <c r="U79">
        <v>0</v>
      </c>
      <c r="V79">
        <v>0</v>
      </c>
      <c r="W79">
        <v>12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11</v>
      </c>
      <c r="AH79">
        <v>0</v>
      </c>
      <c r="AI79">
        <v>4</v>
      </c>
      <c r="AJ79">
        <v>2</v>
      </c>
      <c r="AK79">
        <v>23</v>
      </c>
      <c r="AL79">
        <v>7</v>
      </c>
      <c r="AM79">
        <v>11</v>
      </c>
      <c r="AN79">
        <v>5</v>
      </c>
      <c r="AO79" t="s">
        <v>470</v>
      </c>
      <c r="AP79" t="s">
        <v>471</v>
      </c>
      <c r="AQ79">
        <v>0.45500000000000002</v>
      </c>
      <c r="AR79" t="s">
        <v>69</v>
      </c>
      <c r="AS79">
        <v>34</v>
      </c>
      <c r="AT79">
        <v>12</v>
      </c>
      <c r="AU79">
        <v>2.8740000000000002E-2</v>
      </c>
      <c r="AV79">
        <v>-4.5900000000000003E-3</v>
      </c>
      <c r="AW79">
        <v>9.7140000000000004E-2</v>
      </c>
      <c r="AX79">
        <v>-1.499E-2</v>
      </c>
      <c r="AY79">
        <v>1.03E-2</v>
      </c>
      <c r="AZ79">
        <v>-1.9300000000000001E-3</v>
      </c>
      <c r="BA79">
        <v>0.10604</v>
      </c>
      <c r="BB79">
        <v>1</v>
      </c>
      <c r="BC79" t="s">
        <v>70</v>
      </c>
      <c r="BD79">
        <v>-0.105</v>
      </c>
      <c r="BE79">
        <v>-0.27900000000000003</v>
      </c>
      <c r="BF79" t="s">
        <v>71</v>
      </c>
      <c r="BG79">
        <v>0.13390313390313299</v>
      </c>
      <c r="BI79">
        <v>46</v>
      </c>
      <c r="BJ79">
        <v>0.10604</v>
      </c>
      <c r="BK79">
        <v>0.13390313390313299</v>
      </c>
    </row>
    <row r="80" spans="1:63">
      <c r="A80">
        <v>151</v>
      </c>
      <c r="B80" t="s">
        <v>475</v>
      </c>
      <c r="D80" t="s">
        <v>60</v>
      </c>
      <c r="E80">
        <v>154300</v>
      </c>
      <c r="F80">
        <v>154689</v>
      </c>
      <c r="G80" t="s">
        <v>477</v>
      </c>
      <c r="H80">
        <v>130</v>
      </c>
      <c r="I80" t="s">
        <v>63</v>
      </c>
      <c r="J80">
        <v>5</v>
      </c>
      <c r="K80" t="str">
        <f>HYPERLINK("Gene151-zp_tree_all.dnd", "Gene151-tree")</f>
        <v>Gene151-tree</v>
      </c>
      <c r="L80">
        <v>3</v>
      </c>
      <c r="M80">
        <v>2</v>
      </c>
      <c r="N80">
        <v>3</v>
      </c>
      <c r="O80">
        <v>2</v>
      </c>
      <c r="P80">
        <v>0.4</v>
      </c>
      <c r="Q80" t="s">
        <v>86</v>
      </c>
      <c r="R80" t="s">
        <v>124</v>
      </c>
      <c r="S80" t="s">
        <v>66</v>
      </c>
      <c r="T80" t="s">
        <v>66</v>
      </c>
      <c r="U80">
        <v>0</v>
      </c>
      <c r="V80">
        <v>0</v>
      </c>
      <c r="W80">
        <v>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3</v>
      </c>
      <c r="AH80">
        <v>0</v>
      </c>
      <c r="AI80">
        <v>3</v>
      </c>
      <c r="AJ80">
        <v>1</v>
      </c>
      <c r="AK80">
        <v>7</v>
      </c>
      <c r="AL80">
        <v>3</v>
      </c>
      <c r="AM80">
        <v>3</v>
      </c>
      <c r="AN80">
        <v>0</v>
      </c>
      <c r="AO80" t="s">
        <v>478</v>
      </c>
      <c r="AP80" t="s">
        <v>68</v>
      </c>
      <c r="AQ80">
        <v>0.88800000000000001</v>
      </c>
      <c r="AR80" t="s">
        <v>69</v>
      </c>
      <c r="AS80">
        <v>10</v>
      </c>
      <c r="AT80">
        <v>3</v>
      </c>
      <c r="AU80">
        <v>1.487E-2</v>
      </c>
      <c r="AV80">
        <v>-3.47E-3</v>
      </c>
      <c r="AW80">
        <v>4.7379999999999999E-2</v>
      </c>
      <c r="AX80">
        <v>-1.1639999999999999E-2</v>
      </c>
      <c r="AY80">
        <v>4.1900000000000001E-3</v>
      </c>
      <c r="AZ80">
        <v>-1.08E-3</v>
      </c>
      <c r="BA80">
        <v>8.838E-2</v>
      </c>
      <c r="BB80">
        <v>1</v>
      </c>
      <c r="BC80" t="s">
        <v>70</v>
      </c>
      <c r="BD80">
        <v>-0.51200000000000001</v>
      </c>
      <c r="BE80">
        <v>-0.51200000000000001</v>
      </c>
      <c r="BF80" t="s">
        <v>71</v>
      </c>
      <c r="BG80">
        <v>5.5865921787709499E-3</v>
      </c>
      <c r="BI80">
        <v>13</v>
      </c>
      <c r="BJ80">
        <v>8.838E-2</v>
      </c>
      <c r="BK80">
        <v>5.5865921787709499E-3</v>
      </c>
    </row>
    <row r="81" spans="1:63">
      <c r="A81">
        <v>153</v>
      </c>
      <c r="B81" t="s">
        <v>479</v>
      </c>
      <c r="D81" t="s">
        <v>60</v>
      </c>
      <c r="E81">
        <v>156109</v>
      </c>
      <c r="F81">
        <v>156549</v>
      </c>
      <c r="G81" t="s">
        <v>74</v>
      </c>
      <c r="H81">
        <v>147</v>
      </c>
      <c r="I81" t="s">
        <v>63</v>
      </c>
      <c r="J81">
        <v>5</v>
      </c>
      <c r="K81" t="str">
        <f>HYPERLINK("Gene153-zp_tree_all.dnd", "Gene153-tree")</f>
        <v>Gene153-tree</v>
      </c>
      <c r="L81">
        <v>1</v>
      </c>
      <c r="M81">
        <v>4</v>
      </c>
      <c r="N81">
        <v>1</v>
      </c>
      <c r="O81">
        <v>4</v>
      </c>
      <c r="P81">
        <v>0.8</v>
      </c>
      <c r="Q81" t="s">
        <v>65</v>
      </c>
      <c r="R81" t="s">
        <v>64</v>
      </c>
      <c r="S81" t="s">
        <v>66</v>
      </c>
      <c r="T81" t="s">
        <v>66</v>
      </c>
      <c r="U81">
        <v>1</v>
      </c>
      <c r="V81">
        <v>2</v>
      </c>
      <c r="W81">
        <v>7</v>
      </c>
      <c r="X81">
        <v>0.22222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2</v>
      </c>
      <c r="AG81">
        <v>7</v>
      </c>
      <c r="AH81">
        <v>0.22222</v>
      </c>
      <c r="AI81">
        <v>5</v>
      </c>
      <c r="AJ81">
        <v>2</v>
      </c>
      <c r="AK81">
        <v>15</v>
      </c>
      <c r="AL81">
        <v>7</v>
      </c>
      <c r="AM81">
        <v>9</v>
      </c>
      <c r="AN81">
        <v>2</v>
      </c>
      <c r="AO81" t="s">
        <v>481</v>
      </c>
      <c r="AP81" t="s">
        <v>482</v>
      </c>
      <c r="AQ81">
        <v>1.123</v>
      </c>
      <c r="AR81" t="s">
        <v>69</v>
      </c>
      <c r="AS81">
        <v>24</v>
      </c>
      <c r="AT81">
        <v>9</v>
      </c>
      <c r="AU81">
        <v>3.3110000000000001E-2</v>
      </c>
      <c r="AV81">
        <v>-2.9099999999999998E-3</v>
      </c>
      <c r="AW81">
        <v>0.13150000000000001</v>
      </c>
      <c r="AX81">
        <v>-1.371E-2</v>
      </c>
      <c r="AY81">
        <v>1.1259999999999999E-2</v>
      </c>
      <c r="AZ81">
        <v>-1.1900000000000001E-3</v>
      </c>
      <c r="BA81">
        <v>8.5610000000000006E-2</v>
      </c>
      <c r="BB81">
        <v>1</v>
      </c>
      <c r="BC81" t="s">
        <v>70</v>
      </c>
      <c r="BD81">
        <v>0.311</v>
      </c>
      <c r="BE81">
        <v>-0.49399999999999999</v>
      </c>
      <c r="BF81" t="s">
        <v>71</v>
      </c>
      <c r="BG81">
        <v>0.22093023255813901</v>
      </c>
      <c r="BI81">
        <v>33</v>
      </c>
      <c r="BJ81">
        <v>8.5610000000000006E-2</v>
      </c>
      <c r="BK81">
        <v>0.22093023255813901</v>
      </c>
    </row>
    <row r="82" spans="1:63">
      <c r="A82">
        <v>157</v>
      </c>
      <c r="B82" t="s">
        <v>488</v>
      </c>
      <c r="D82" t="s">
        <v>60</v>
      </c>
      <c r="E82">
        <v>159182</v>
      </c>
      <c r="F82">
        <v>159775</v>
      </c>
      <c r="G82" t="s">
        <v>490</v>
      </c>
      <c r="H82">
        <v>198</v>
      </c>
      <c r="I82" t="s">
        <v>63</v>
      </c>
      <c r="J82">
        <v>5</v>
      </c>
      <c r="K82" t="str">
        <f>HYPERLINK("Gene157-zp_tree_all.dnd", "Gene157-tree")</f>
        <v>Gene157-tree</v>
      </c>
      <c r="L82">
        <v>4</v>
      </c>
      <c r="M82">
        <v>1</v>
      </c>
      <c r="N82">
        <v>3</v>
      </c>
      <c r="O82">
        <v>1</v>
      </c>
      <c r="P82">
        <v>0.25</v>
      </c>
      <c r="Q82" t="s">
        <v>112</v>
      </c>
      <c r="R82" t="s">
        <v>65</v>
      </c>
      <c r="S82" t="s">
        <v>66</v>
      </c>
      <c r="T82" t="s">
        <v>66</v>
      </c>
      <c r="U82">
        <v>0</v>
      </c>
      <c r="V82">
        <v>0</v>
      </c>
      <c r="W82">
        <v>3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4</v>
      </c>
      <c r="AJ82">
        <v>1</v>
      </c>
      <c r="AK82">
        <v>13</v>
      </c>
      <c r="AL82">
        <v>1</v>
      </c>
      <c r="AM82">
        <v>15</v>
      </c>
      <c r="AN82">
        <v>2</v>
      </c>
      <c r="AO82" t="s">
        <v>491</v>
      </c>
      <c r="AP82" t="s">
        <v>492</v>
      </c>
      <c r="AQ82">
        <v>0.40500000000000003</v>
      </c>
      <c r="AR82" t="s">
        <v>69</v>
      </c>
      <c r="AS82">
        <v>28</v>
      </c>
      <c r="AT82">
        <v>3</v>
      </c>
      <c r="AU82">
        <v>3.0020000000000002E-2</v>
      </c>
      <c r="AV82">
        <v>-5.3E-3</v>
      </c>
      <c r="AW82">
        <v>0.13428999999999999</v>
      </c>
      <c r="AX82">
        <v>-2.4490000000000001E-2</v>
      </c>
      <c r="AY82">
        <v>3.9899999999999996E-3</v>
      </c>
      <c r="AZ82">
        <v>-6.8000000000000005E-4</v>
      </c>
      <c r="BA82">
        <v>2.9680000000000002E-2</v>
      </c>
      <c r="BB82">
        <v>1</v>
      </c>
      <c r="BC82" t="s">
        <v>70</v>
      </c>
      <c r="BD82">
        <v>1.2769999999999999</v>
      </c>
      <c r="BE82">
        <v>0.79400000000000004</v>
      </c>
      <c r="BF82" t="s">
        <v>71</v>
      </c>
      <c r="BG82">
        <v>0.25862068965517199</v>
      </c>
      <c r="BI82">
        <v>31</v>
      </c>
      <c r="BJ82">
        <v>2.9680000000000002E-2</v>
      </c>
      <c r="BK82">
        <v>0.25862068965517199</v>
      </c>
    </row>
    <row r="83" spans="1:63">
      <c r="A83">
        <v>174</v>
      </c>
      <c r="B83" t="s">
        <v>497</v>
      </c>
      <c r="D83" t="s">
        <v>60</v>
      </c>
      <c r="E83">
        <v>194849</v>
      </c>
      <c r="F83">
        <v>195409</v>
      </c>
      <c r="G83" t="s">
        <v>499</v>
      </c>
      <c r="H83">
        <v>187</v>
      </c>
      <c r="I83" t="s">
        <v>63</v>
      </c>
      <c r="J83">
        <v>5</v>
      </c>
      <c r="K83" t="str">
        <f>HYPERLINK("Gene174-zp_tree_all.dnd", "Gene174-tree")</f>
        <v>Gene174-tree</v>
      </c>
      <c r="L83">
        <v>3</v>
      </c>
      <c r="M83">
        <v>2</v>
      </c>
      <c r="N83">
        <v>3</v>
      </c>
      <c r="O83">
        <v>2</v>
      </c>
      <c r="P83">
        <v>0.4</v>
      </c>
      <c r="Q83" t="s">
        <v>86</v>
      </c>
      <c r="R83" t="s">
        <v>124</v>
      </c>
      <c r="S83" t="s">
        <v>66</v>
      </c>
      <c r="T83" t="s">
        <v>66</v>
      </c>
      <c r="U83">
        <v>0</v>
      </c>
      <c r="V83">
        <v>0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0</v>
      </c>
      <c r="AI83">
        <v>4</v>
      </c>
      <c r="AJ83">
        <v>1</v>
      </c>
      <c r="AK83">
        <v>12</v>
      </c>
      <c r="AL83">
        <v>2</v>
      </c>
      <c r="AM83">
        <v>13</v>
      </c>
      <c r="AN83">
        <v>0</v>
      </c>
      <c r="AO83" t="s">
        <v>500</v>
      </c>
      <c r="AP83" t="s">
        <v>68</v>
      </c>
      <c r="AQ83">
        <v>1.2789999999999999</v>
      </c>
      <c r="AR83" t="s">
        <v>69</v>
      </c>
      <c r="AS83">
        <v>25</v>
      </c>
      <c r="AT83">
        <v>2</v>
      </c>
      <c r="AU83">
        <v>2.3529999999999999E-2</v>
      </c>
      <c r="AV83">
        <v>-3.5500000000000002E-3</v>
      </c>
      <c r="AW83">
        <v>0.10886999999999999</v>
      </c>
      <c r="AX83">
        <v>-1.8960000000000001E-2</v>
      </c>
      <c r="AY83">
        <v>1.8400000000000001E-3</v>
      </c>
      <c r="AZ83">
        <v>-2.9999999999999997E-4</v>
      </c>
      <c r="BA83">
        <v>1.6879999999999999E-2</v>
      </c>
      <c r="BB83">
        <v>1</v>
      </c>
      <c r="BC83" t="s">
        <v>70</v>
      </c>
      <c r="BD83">
        <v>0.43</v>
      </c>
      <c r="BE83">
        <v>0.43</v>
      </c>
      <c r="BF83" t="s">
        <v>71</v>
      </c>
      <c r="BG83">
        <v>0.117903930131004</v>
      </c>
      <c r="BI83">
        <v>27</v>
      </c>
      <c r="BJ83">
        <v>1.6879999999999999E-2</v>
      </c>
      <c r="BK83">
        <v>0.117903930131004</v>
      </c>
    </row>
    <row r="84" spans="1:63">
      <c r="A84">
        <v>175</v>
      </c>
      <c r="B84" t="s">
        <v>501</v>
      </c>
      <c r="D84" t="s">
        <v>60</v>
      </c>
      <c r="E84">
        <v>195426</v>
      </c>
      <c r="F84">
        <v>196049</v>
      </c>
      <c r="G84" t="s">
        <v>503</v>
      </c>
      <c r="H84">
        <v>208</v>
      </c>
      <c r="I84" t="s">
        <v>63</v>
      </c>
      <c r="J84">
        <v>5</v>
      </c>
      <c r="K84" t="str">
        <f>HYPERLINK("Gene175-zp_tree_all.dnd", "Gene175-tree")</f>
        <v>Gene175-tree</v>
      </c>
      <c r="L84">
        <v>3</v>
      </c>
      <c r="M84">
        <v>2</v>
      </c>
      <c r="N84">
        <v>3</v>
      </c>
      <c r="O84">
        <v>2</v>
      </c>
      <c r="P84">
        <v>0.4</v>
      </c>
      <c r="Q84" t="s">
        <v>86</v>
      </c>
      <c r="R84" t="s">
        <v>124</v>
      </c>
      <c r="S84" t="s">
        <v>66</v>
      </c>
      <c r="T84" t="s">
        <v>66</v>
      </c>
      <c r="U84">
        <v>0</v>
      </c>
      <c r="V84">
        <v>0</v>
      </c>
      <c r="W84">
        <v>8</v>
      </c>
      <c r="X84">
        <v>0</v>
      </c>
      <c r="Y84">
        <v>0</v>
      </c>
      <c r="Z84">
        <v>0</v>
      </c>
      <c r="AA84">
        <v>0</v>
      </c>
      <c r="AB84">
        <v>6</v>
      </c>
      <c r="AC84">
        <v>0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4</v>
      </c>
      <c r="AJ84">
        <v>2</v>
      </c>
      <c r="AK84">
        <v>11</v>
      </c>
      <c r="AL84">
        <v>2</v>
      </c>
      <c r="AM84">
        <v>14</v>
      </c>
      <c r="AN84">
        <v>6</v>
      </c>
      <c r="AO84" t="s">
        <v>504</v>
      </c>
      <c r="AP84" t="s">
        <v>505</v>
      </c>
      <c r="AQ84">
        <v>0.66800000000000004</v>
      </c>
      <c r="AR84" t="s">
        <v>69</v>
      </c>
      <c r="AS84">
        <v>25</v>
      </c>
      <c r="AT84">
        <v>8</v>
      </c>
      <c r="AU84">
        <v>2.58E-2</v>
      </c>
      <c r="AV84">
        <v>-4.2700000000000004E-3</v>
      </c>
      <c r="AW84">
        <v>9.7699999999999995E-2</v>
      </c>
      <c r="AX84">
        <v>-1.5169999999999999E-2</v>
      </c>
      <c r="AY84">
        <v>8.9800000000000001E-3</v>
      </c>
      <c r="AZ84">
        <v>-1.97E-3</v>
      </c>
      <c r="BA84">
        <v>9.1920000000000002E-2</v>
      </c>
      <c r="BB84">
        <v>1</v>
      </c>
      <c r="BC84" t="s">
        <v>70</v>
      </c>
      <c r="BD84">
        <v>0.88300000000000001</v>
      </c>
      <c r="BE84">
        <v>0.41499999999999998</v>
      </c>
      <c r="BF84" t="s">
        <v>71</v>
      </c>
      <c r="BG84">
        <v>0.120567375886524</v>
      </c>
      <c r="BI84">
        <v>33</v>
      </c>
      <c r="BJ84">
        <v>9.1920000000000002E-2</v>
      </c>
      <c r="BK84">
        <v>0.120567375886524</v>
      </c>
    </row>
    <row r="85" spans="1:63">
      <c r="A85">
        <v>176</v>
      </c>
      <c r="B85" t="s">
        <v>506</v>
      </c>
      <c r="D85" t="s">
        <v>60</v>
      </c>
      <c r="E85">
        <v>196213</v>
      </c>
      <c r="F85">
        <v>197031</v>
      </c>
      <c r="G85" t="s">
        <v>74</v>
      </c>
      <c r="H85">
        <v>273</v>
      </c>
      <c r="I85" t="s">
        <v>63</v>
      </c>
      <c r="J85">
        <v>5</v>
      </c>
      <c r="K85" t="str">
        <f>HYPERLINK("Gene176-zp_tree_all.dnd", "Gene176-tree")</f>
        <v>Gene176-tree</v>
      </c>
      <c r="L85">
        <v>5</v>
      </c>
      <c r="M85">
        <v>0</v>
      </c>
      <c r="N85">
        <v>5</v>
      </c>
      <c r="O85">
        <v>0</v>
      </c>
      <c r="P85">
        <v>0</v>
      </c>
      <c r="Q85" t="s">
        <v>96</v>
      </c>
      <c r="R85" t="s">
        <v>66</v>
      </c>
      <c r="S85" t="s">
        <v>66</v>
      </c>
      <c r="T85" t="s">
        <v>66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5</v>
      </c>
      <c r="AJ85">
        <v>2</v>
      </c>
      <c r="AK85">
        <v>19</v>
      </c>
      <c r="AL85">
        <v>0</v>
      </c>
      <c r="AM85">
        <v>26</v>
      </c>
      <c r="AN85">
        <v>0</v>
      </c>
      <c r="AO85" t="s">
        <v>68</v>
      </c>
      <c r="AP85" t="s">
        <v>68</v>
      </c>
      <c r="AQ85">
        <v>0</v>
      </c>
      <c r="AR85" t="s">
        <v>69</v>
      </c>
      <c r="AS85">
        <v>45</v>
      </c>
      <c r="AT85">
        <v>0</v>
      </c>
      <c r="AU85">
        <v>2.6859999999999998E-2</v>
      </c>
      <c r="AV85">
        <v>-4.28E-3</v>
      </c>
      <c r="AW85">
        <v>0.12570999999999999</v>
      </c>
      <c r="AX85">
        <v>-2.0789999999999999E-2</v>
      </c>
      <c r="AY85">
        <v>3.2000000000000003E-4</v>
      </c>
      <c r="AZ85">
        <v>-1.9000000000000001E-4</v>
      </c>
      <c r="BA85">
        <v>2.5400000000000002E-3</v>
      </c>
      <c r="BB85">
        <v>1</v>
      </c>
      <c r="BC85" t="s">
        <v>70</v>
      </c>
      <c r="BD85">
        <v>0.88700000000000001</v>
      </c>
      <c r="BE85">
        <v>0.58099999999999996</v>
      </c>
      <c r="BF85" t="s">
        <v>71</v>
      </c>
      <c r="BG85">
        <v>0.109947643979057</v>
      </c>
      <c r="BI85">
        <v>45</v>
      </c>
      <c r="BJ85">
        <v>2.5400000000000002E-3</v>
      </c>
      <c r="BK85">
        <v>0.109947643979057</v>
      </c>
    </row>
    <row r="86" spans="1:63">
      <c r="A86">
        <v>178</v>
      </c>
      <c r="B86" t="s">
        <v>508</v>
      </c>
      <c r="D86" t="s">
        <v>60</v>
      </c>
      <c r="E86">
        <v>198497</v>
      </c>
      <c r="F86">
        <v>199840</v>
      </c>
      <c r="G86" t="s">
        <v>510</v>
      </c>
      <c r="H86">
        <v>448</v>
      </c>
      <c r="I86" t="s">
        <v>85</v>
      </c>
      <c r="J86">
        <v>4</v>
      </c>
      <c r="K86" t="str">
        <f>HYPERLINK("Gene178-zp_tree_all.dnd", "Gene178-tree")</f>
        <v>Gene178-tree</v>
      </c>
      <c r="L86">
        <v>3</v>
      </c>
      <c r="M86">
        <v>1</v>
      </c>
      <c r="N86">
        <v>3</v>
      </c>
      <c r="O86">
        <v>1</v>
      </c>
      <c r="P86">
        <v>0.25</v>
      </c>
      <c r="Q86" t="s">
        <v>86</v>
      </c>
      <c r="R86" t="s">
        <v>65</v>
      </c>
      <c r="S86" t="s">
        <v>66</v>
      </c>
      <c r="T86" t="s">
        <v>66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4</v>
      </c>
      <c r="AJ86">
        <v>1</v>
      </c>
      <c r="AK86">
        <v>73</v>
      </c>
      <c r="AL86">
        <v>1</v>
      </c>
      <c r="AM86">
        <v>0</v>
      </c>
      <c r="AN86">
        <v>1</v>
      </c>
      <c r="AO86" t="s">
        <v>511</v>
      </c>
      <c r="AP86" t="s">
        <v>68</v>
      </c>
      <c r="AQ86">
        <v>0.39800000000000002</v>
      </c>
      <c r="AR86" t="s">
        <v>69</v>
      </c>
      <c r="AS86">
        <v>73</v>
      </c>
      <c r="AT86">
        <v>2</v>
      </c>
      <c r="AU86">
        <v>2.7779999999999999E-2</v>
      </c>
      <c r="AV86">
        <v>-9.1199999999999996E-3</v>
      </c>
      <c r="AW86">
        <v>0.13124</v>
      </c>
      <c r="AX86">
        <v>-4.4920000000000002E-2</v>
      </c>
      <c r="AY86">
        <v>1.14E-3</v>
      </c>
      <c r="AZ86">
        <v>-2.7E-4</v>
      </c>
      <c r="BA86">
        <v>8.6800000000000002E-3</v>
      </c>
      <c r="BB86">
        <v>1</v>
      </c>
      <c r="BC86" t="s">
        <v>70</v>
      </c>
      <c r="BD86">
        <v>-0.78400000000000003</v>
      </c>
      <c r="BE86">
        <v>-0.78400000000000003</v>
      </c>
      <c r="BF86" t="s">
        <v>71</v>
      </c>
      <c r="BG86">
        <v>0.13260530421216801</v>
      </c>
      <c r="BI86">
        <v>75</v>
      </c>
      <c r="BJ86">
        <v>8.6800000000000002E-3</v>
      </c>
      <c r="BK86">
        <v>0.13260530421216801</v>
      </c>
    </row>
    <row r="87" spans="1:63">
      <c r="A87">
        <v>179</v>
      </c>
      <c r="B87" t="s">
        <v>512</v>
      </c>
      <c r="D87" t="s">
        <v>60</v>
      </c>
      <c r="E87">
        <v>200277</v>
      </c>
      <c r="F87">
        <v>202076</v>
      </c>
      <c r="G87" t="s">
        <v>514</v>
      </c>
      <c r="H87">
        <v>600</v>
      </c>
      <c r="I87" t="s">
        <v>63</v>
      </c>
      <c r="J87">
        <v>5</v>
      </c>
      <c r="K87" t="str">
        <f>HYPERLINK("Gene179-zp_tree_all.dnd", "Gene179-tree")</f>
        <v>Gene179-tree</v>
      </c>
      <c r="L87">
        <v>2</v>
      </c>
      <c r="M87">
        <v>3</v>
      </c>
      <c r="N87">
        <v>2</v>
      </c>
      <c r="O87">
        <v>3</v>
      </c>
      <c r="P87">
        <v>0.6</v>
      </c>
      <c r="Q87" t="s">
        <v>124</v>
      </c>
      <c r="R87" t="s">
        <v>86</v>
      </c>
      <c r="S87" t="s">
        <v>66</v>
      </c>
      <c r="T87" t="s">
        <v>66</v>
      </c>
      <c r="U87">
        <v>0</v>
      </c>
      <c r="V87">
        <v>0</v>
      </c>
      <c r="W87">
        <v>8</v>
      </c>
      <c r="X87">
        <v>0</v>
      </c>
      <c r="Y87">
        <v>0</v>
      </c>
      <c r="Z87">
        <v>0</v>
      </c>
      <c r="AA87">
        <v>0</v>
      </c>
      <c r="AB87">
        <v>4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0</v>
      </c>
      <c r="AI87">
        <v>5</v>
      </c>
      <c r="AJ87">
        <v>2</v>
      </c>
      <c r="AK87">
        <v>65</v>
      </c>
      <c r="AL87">
        <v>4</v>
      </c>
      <c r="AM87">
        <v>50</v>
      </c>
      <c r="AN87">
        <v>4</v>
      </c>
      <c r="AO87" t="s">
        <v>515</v>
      </c>
      <c r="AP87" t="s">
        <v>516</v>
      </c>
      <c r="AQ87">
        <v>0.17499999999999999</v>
      </c>
      <c r="AR87" t="s">
        <v>69</v>
      </c>
      <c r="AS87">
        <v>115</v>
      </c>
      <c r="AT87">
        <v>8</v>
      </c>
      <c r="AU87">
        <v>3.1559999999999998E-2</v>
      </c>
      <c r="AV87">
        <v>-4.4999999999999997E-3</v>
      </c>
      <c r="AW87">
        <v>0.13519</v>
      </c>
      <c r="AX87">
        <v>-2.0250000000000001E-2</v>
      </c>
      <c r="AY87">
        <v>2.9399999999999999E-3</v>
      </c>
      <c r="AZ87">
        <v>-5.1999999999999995E-4</v>
      </c>
      <c r="BA87">
        <v>2.1729999999999999E-2</v>
      </c>
      <c r="BB87">
        <v>1</v>
      </c>
      <c r="BC87" t="s">
        <v>70</v>
      </c>
      <c r="BD87">
        <v>0.502</v>
      </c>
      <c r="BE87">
        <v>4.5999999999999999E-2</v>
      </c>
      <c r="BF87" t="s">
        <v>71</v>
      </c>
      <c r="BG87">
        <v>5.1886792452830101E-2</v>
      </c>
      <c r="BI87">
        <v>123</v>
      </c>
      <c r="BJ87">
        <v>2.1729999999999999E-2</v>
      </c>
      <c r="BK87">
        <v>5.1886792452830101E-2</v>
      </c>
    </row>
    <row r="88" spans="1:63">
      <c r="A88">
        <v>188</v>
      </c>
      <c r="B88" t="s">
        <v>519</v>
      </c>
      <c r="D88" t="s">
        <v>60</v>
      </c>
      <c r="E88">
        <v>211429</v>
      </c>
      <c r="F88">
        <v>211728</v>
      </c>
      <c r="G88" t="s">
        <v>521</v>
      </c>
      <c r="H88">
        <v>100</v>
      </c>
      <c r="I88" t="s">
        <v>85</v>
      </c>
      <c r="J88">
        <v>4</v>
      </c>
      <c r="K88" t="str">
        <f>HYPERLINK("Gene188-zp_tree_all.dnd", "Gene188-tree")</f>
        <v>Gene188-tree</v>
      </c>
      <c r="L88">
        <v>2</v>
      </c>
      <c r="M88">
        <v>2</v>
      </c>
      <c r="N88">
        <v>2</v>
      </c>
      <c r="O88">
        <v>2</v>
      </c>
      <c r="P88">
        <v>0.5</v>
      </c>
      <c r="Q88" t="s">
        <v>124</v>
      </c>
      <c r="R88" t="s">
        <v>124</v>
      </c>
      <c r="S88" t="s">
        <v>66</v>
      </c>
      <c r="T88" t="s">
        <v>66</v>
      </c>
      <c r="U88">
        <v>0</v>
      </c>
      <c r="V88">
        <v>0</v>
      </c>
      <c r="W88">
        <v>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4</v>
      </c>
      <c r="AJ88">
        <v>1</v>
      </c>
      <c r="AK88">
        <v>7</v>
      </c>
      <c r="AL88">
        <v>2</v>
      </c>
      <c r="AM88">
        <v>7</v>
      </c>
      <c r="AN88">
        <v>0</v>
      </c>
      <c r="AO88" t="s">
        <v>522</v>
      </c>
      <c r="AP88" t="s">
        <v>68</v>
      </c>
      <c r="AQ88">
        <v>1.6220000000000001</v>
      </c>
      <c r="AR88" t="s">
        <v>69</v>
      </c>
      <c r="AS88">
        <v>14</v>
      </c>
      <c r="AT88">
        <v>2</v>
      </c>
      <c r="AU88">
        <v>2.8889999999999999E-2</v>
      </c>
      <c r="AV88">
        <v>-4.28E-3</v>
      </c>
      <c r="AW88">
        <v>0.12415</v>
      </c>
      <c r="AX88">
        <v>-2.086E-2</v>
      </c>
      <c r="AY88">
        <v>5.0200000000000002E-3</v>
      </c>
      <c r="AZ88">
        <v>-1.58E-3</v>
      </c>
      <c r="BA88">
        <v>4.045E-2</v>
      </c>
      <c r="BB88">
        <v>1</v>
      </c>
      <c r="BC88" t="s">
        <v>70</v>
      </c>
      <c r="BD88">
        <v>1.369</v>
      </c>
      <c r="BE88">
        <v>0.04</v>
      </c>
      <c r="BF88" t="s">
        <v>71</v>
      </c>
      <c r="BG88">
        <v>5.8823529411764698E-2</v>
      </c>
      <c r="BI88">
        <v>16</v>
      </c>
      <c r="BJ88">
        <v>4.045E-2</v>
      </c>
      <c r="BK88">
        <v>5.8823529411764698E-2</v>
      </c>
    </row>
    <row r="89" spans="1:63">
      <c r="A89">
        <v>189</v>
      </c>
      <c r="B89" t="s">
        <v>523</v>
      </c>
      <c r="D89" t="s">
        <v>60</v>
      </c>
      <c r="E89">
        <v>211859</v>
      </c>
      <c r="F89">
        <v>213028</v>
      </c>
      <c r="G89" t="s">
        <v>525</v>
      </c>
      <c r="H89">
        <v>390</v>
      </c>
      <c r="I89" t="s">
        <v>85</v>
      </c>
      <c r="J89">
        <v>4</v>
      </c>
      <c r="K89" t="str">
        <f>HYPERLINK("Gene189-zp_tree_all.dnd", "Gene189-tree")</f>
        <v>Gene189-tree</v>
      </c>
      <c r="L89">
        <v>1</v>
      </c>
      <c r="M89">
        <v>3</v>
      </c>
      <c r="N89">
        <v>1</v>
      </c>
      <c r="O89">
        <v>3</v>
      </c>
      <c r="P89">
        <v>0.75</v>
      </c>
      <c r="Q89" t="s">
        <v>65</v>
      </c>
      <c r="R89" t="s">
        <v>86</v>
      </c>
      <c r="S89" t="s">
        <v>66</v>
      </c>
      <c r="T89" t="s">
        <v>66</v>
      </c>
      <c r="U89">
        <v>0</v>
      </c>
      <c r="V89">
        <v>0</v>
      </c>
      <c r="W89">
        <v>16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16</v>
      </c>
      <c r="AH89">
        <v>0</v>
      </c>
      <c r="AI89">
        <v>4</v>
      </c>
      <c r="AJ89">
        <v>1</v>
      </c>
      <c r="AK89">
        <v>55</v>
      </c>
      <c r="AL89">
        <v>14</v>
      </c>
      <c r="AM89">
        <v>11</v>
      </c>
      <c r="AN89">
        <v>2</v>
      </c>
      <c r="AO89" t="s">
        <v>526</v>
      </c>
      <c r="AP89" t="s">
        <v>527</v>
      </c>
      <c r="AQ89">
        <v>1.038</v>
      </c>
      <c r="AR89" t="s">
        <v>69</v>
      </c>
      <c r="AS89">
        <v>66</v>
      </c>
      <c r="AT89">
        <v>16</v>
      </c>
      <c r="AU89">
        <v>3.5040000000000002E-2</v>
      </c>
      <c r="AV89">
        <v>-2.99E-3</v>
      </c>
      <c r="AW89">
        <v>0.12178</v>
      </c>
      <c r="AX89">
        <v>-9.9500000000000005E-3</v>
      </c>
      <c r="AY89">
        <v>9.5499999999999995E-3</v>
      </c>
      <c r="AZ89">
        <v>-1.32E-3</v>
      </c>
      <c r="BA89">
        <v>7.8450000000000006E-2</v>
      </c>
      <c r="BB89">
        <v>1</v>
      </c>
      <c r="BC89" t="s">
        <v>70</v>
      </c>
      <c r="BD89">
        <v>2.3E-2</v>
      </c>
      <c r="BE89">
        <v>-0.23200000000000001</v>
      </c>
      <c r="BF89" t="s">
        <v>71</v>
      </c>
      <c r="BG89">
        <v>0.12476007677543099</v>
      </c>
      <c r="BI89">
        <v>82</v>
      </c>
      <c r="BJ89">
        <v>7.8450000000000006E-2</v>
      </c>
      <c r="BK89">
        <v>0.12476007677543099</v>
      </c>
    </row>
    <row r="90" spans="1:63">
      <c r="A90">
        <v>206</v>
      </c>
      <c r="B90" t="s">
        <v>528</v>
      </c>
      <c r="D90" t="s">
        <v>60</v>
      </c>
      <c r="E90">
        <v>228066</v>
      </c>
      <c r="F90">
        <v>228311</v>
      </c>
      <c r="G90" t="s">
        <v>530</v>
      </c>
      <c r="H90">
        <v>82</v>
      </c>
      <c r="I90" t="s">
        <v>63</v>
      </c>
      <c r="J90">
        <v>5</v>
      </c>
      <c r="K90" t="str">
        <f>HYPERLINK("Gene206-zp_tree_all.dnd", "Gene206-tree")</f>
        <v>Gene206-tree</v>
      </c>
      <c r="L90">
        <v>2</v>
      </c>
      <c r="M90">
        <v>3</v>
      </c>
      <c r="N90">
        <v>1</v>
      </c>
      <c r="O90">
        <v>3</v>
      </c>
      <c r="P90">
        <v>0.75</v>
      </c>
      <c r="Q90" t="s">
        <v>65</v>
      </c>
      <c r="R90" t="s">
        <v>86</v>
      </c>
      <c r="S90" t="s">
        <v>66</v>
      </c>
      <c r="T90" t="s">
        <v>66</v>
      </c>
      <c r="U90">
        <v>0</v>
      </c>
      <c r="V90">
        <v>0</v>
      </c>
      <c r="W90">
        <v>4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3</v>
      </c>
      <c r="AH90">
        <v>0</v>
      </c>
      <c r="AI90">
        <v>4</v>
      </c>
      <c r="AJ90">
        <v>1</v>
      </c>
      <c r="AK90">
        <v>6</v>
      </c>
      <c r="AL90">
        <v>3</v>
      </c>
      <c r="AM90">
        <v>4</v>
      </c>
      <c r="AN90">
        <v>1</v>
      </c>
      <c r="AO90" t="s">
        <v>531</v>
      </c>
      <c r="AP90" t="s">
        <v>532</v>
      </c>
      <c r="AQ90">
        <v>1.4990000000000001</v>
      </c>
      <c r="AR90" t="s">
        <v>69</v>
      </c>
      <c r="AS90">
        <v>10</v>
      </c>
      <c r="AT90">
        <v>4</v>
      </c>
      <c r="AU90">
        <v>3.184E-2</v>
      </c>
      <c r="AV90">
        <v>-4.4299999999999999E-3</v>
      </c>
      <c r="AW90">
        <v>0.12953000000000001</v>
      </c>
      <c r="AX90">
        <v>-2.112E-2</v>
      </c>
      <c r="AY90">
        <v>1.1050000000000001E-2</v>
      </c>
      <c r="AZ90">
        <v>-1.4400000000000001E-3</v>
      </c>
      <c r="BA90">
        <v>8.5279999999999995E-2</v>
      </c>
      <c r="BB90">
        <v>1</v>
      </c>
      <c r="BC90" t="s">
        <v>70</v>
      </c>
      <c r="BD90">
        <v>8.6999999999999994E-2</v>
      </c>
      <c r="BE90">
        <v>8.6999999999999994E-2</v>
      </c>
      <c r="BF90" t="s">
        <v>71</v>
      </c>
      <c r="BG90">
        <v>0.25274725274725202</v>
      </c>
      <c r="BI90">
        <v>14</v>
      </c>
      <c r="BJ90">
        <v>8.5279999999999995E-2</v>
      </c>
      <c r="BK90">
        <v>0.25274725274725202</v>
      </c>
    </row>
    <row r="91" spans="1:63">
      <c r="A91">
        <v>207</v>
      </c>
      <c r="B91" t="s">
        <v>533</v>
      </c>
      <c r="D91" t="s">
        <v>60</v>
      </c>
      <c r="E91">
        <v>228331</v>
      </c>
      <c r="F91">
        <v>228519</v>
      </c>
      <c r="G91" t="s">
        <v>74</v>
      </c>
      <c r="H91">
        <v>63</v>
      </c>
      <c r="I91" t="s">
        <v>63</v>
      </c>
      <c r="J91">
        <v>5</v>
      </c>
      <c r="K91" t="str">
        <f>HYPERLINK("Gene207-zp_tree_all.dnd", "Gene207-tree")</f>
        <v>Gene207-tree</v>
      </c>
      <c r="L91">
        <v>3</v>
      </c>
      <c r="M91">
        <v>2</v>
      </c>
      <c r="N91">
        <v>3</v>
      </c>
      <c r="O91">
        <v>2</v>
      </c>
      <c r="P91">
        <v>0.4</v>
      </c>
      <c r="Q91" t="s">
        <v>86</v>
      </c>
      <c r="R91" t="s">
        <v>124</v>
      </c>
      <c r="S91" t="s">
        <v>66</v>
      </c>
      <c r="T91" t="s">
        <v>66</v>
      </c>
      <c r="U91">
        <v>0</v>
      </c>
      <c r="V91">
        <v>0</v>
      </c>
      <c r="W91">
        <v>4</v>
      </c>
      <c r="X91">
        <v>0</v>
      </c>
      <c r="Y91">
        <v>0</v>
      </c>
      <c r="Z91">
        <v>0</v>
      </c>
      <c r="AA91">
        <v>0</v>
      </c>
      <c r="AB91">
        <v>2</v>
      </c>
      <c r="AC91">
        <v>0</v>
      </c>
      <c r="AD91">
        <v>0</v>
      </c>
      <c r="AE91">
        <v>0</v>
      </c>
      <c r="AF91">
        <v>0</v>
      </c>
      <c r="AG91">
        <v>2</v>
      </c>
      <c r="AH91">
        <v>0</v>
      </c>
      <c r="AI91">
        <v>4</v>
      </c>
      <c r="AJ91">
        <v>1</v>
      </c>
      <c r="AK91">
        <v>5</v>
      </c>
      <c r="AL91">
        <v>2</v>
      </c>
      <c r="AM91">
        <v>4</v>
      </c>
      <c r="AN91">
        <v>2</v>
      </c>
      <c r="AO91" t="s">
        <v>535</v>
      </c>
      <c r="AP91" t="s">
        <v>536</v>
      </c>
      <c r="AQ91">
        <v>0.23699999999999999</v>
      </c>
      <c r="AR91" t="s">
        <v>69</v>
      </c>
      <c r="AS91">
        <v>9</v>
      </c>
      <c r="AT91">
        <v>4</v>
      </c>
      <c r="AU91">
        <v>3.2800000000000003E-2</v>
      </c>
      <c r="AV91">
        <v>-5.7400000000000003E-3</v>
      </c>
      <c r="AW91">
        <v>0.12559999999999999</v>
      </c>
      <c r="AX91">
        <v>-2.4150000000000001E-2</v>
      </c>
      <c r="AY91">
        <v>1.3350000000000001E-2</v>
      </c>
      <c r="AZ91">
        <v>-2.5100000000000001E-3</v>
      </c>
      <c r="BA91">
        <v>0.10631</v>
      </c>
      <c r="BB91">
        <v>0.99</v>
      </c>
      <c r="BC91" t="s">
        <v>70</v>
      </c>
      <c r="BD91">
        <v>0.55200000000000005</v>
      </c>
      <c r="BE91">
        <v>0.55200000000000005</v>
      </c>
      <c r="BF91" t="s">
        <v>71</v>
      </c>
      <c r="BG91">
        <v>0.27272727272727199</v>
      </c>
      <c r="BI91">
        <v>13</v>
      </c>
      <c r="BJ91">
        <v>0.10631</v>
      </c>
      <c r="BK91">
        <v>0.27272727272727199</v>
      </c>
    </row>
    <row r="92" spans="1:63">
      <c r="A92">
        <v>207</v>
      </c>
      <c r="B92" t="s">
        <v>533</v>
      </c>
      <c r="D92" t="s">
        <v>60</v>
      </c>
      <c r="E92">
        <v>228331</v>
      </c>
      <c r="F92">
        <v>228519</v>
      </c>
      <c r="G92" t="s">
        <v>74</v>
      </c>
      <c r="H92">
        <v>63</v>
      </c>
      <c r="I92" t="s">
        <v>63</v>
      </c>
      <c r="J92">
        <v>5</v>
      </c>
      <c r="K92" t="str">
        <f>HYPERLINK("Gene207-zp_tree_all.dnd", "Gene207-tree")</f>
        <v>Gene207-tree</v>
      </c>
      <c r="L92">
        <v>3</v>
      </c>
      <c r="M92">
        <v>2</v>
      </c>
      <c r="N92">
        <v>3</v>
      </c>
      <c r="O92">
        <v>2</v>
      </c>
      <c r="P92">
        <v>0.4</v>
      </c>
      <c r="Q92" t="s">
        <v>86</v>
      </c>
      <c r="R92" t="s">
        <v>124</v>
      </c>
      <c r="S92" t="s">
        <v>66</v>
      </c>
      <c r="T92" t="s">
        <v>66</v>
      </c>
      <c r="U92">
        <v>0</v>
      </c>
      <c r="V92">
        <v>0</v>
      </c>
      <c r="W92">
        <v>4</v>
      </c>
      <c r="X92">
        <v>0</v>
      </c>
      <c r="Y92">
        <v>0</v>
      </c>
      <c r="Z92">
        <v>0</v>
      </c>
      <c r="AA92">
        <v>0</v>
      </c>
      <c r="AB92">
        <v>2</v>
      </c>
      <c r="AC92">
        <v>0</v>
      </c>
      <c r="AD92">
        <v>0</v>
      </c>
      <c r="AE92">
        <v>0</v>
      </c>
      <c r="AF92">
        <v>0</v>
      </c>
      <c r="AG92">
        <v>2</v>
      </c>
      <c r="AH92">
        <v>0</v>
      </c>
      <c r="AI92">
        <v>4</v>
      </c>
      <c r="AJ92">
        <v>1</v>
      </c>
      <c r="AK92">
        <v>5</v>
      </c>
      <c r="AL92">
        <v>2</v>
      </c>
      <c r="AM92">
        <v>4</v>
      </c>
      <c r="AN92">
        <v>2</v>
      </c>
      <c r="AO92" t="s">
        <v>535</v>
      </c>
      <c r="AP92" t="s">
        <v>536</v>
      </c>
      <c r="AQ92">
        <v>0.23699999999999999</v>
      </c>
      <c r="AR92" t="s">
        <v>69</v>
      </c>
      <c r="AS92">
        <v>9</v>
      </c>
      <c r="AT92">
        <v>4</v>
      </c>
      <c r="AU92">
        <v>3.2800000000000003E-2</v>
      </c>
      <c r="AV92">
        <v>-5.7400000000000003E-3</v>
      </c>
      <c r="AW92">
        <v>0.12559999999999999</v>
      </c>
      <c r="AX92">
        <v>-2.4150000000000001E-2</v>
      </c>
      <c r="AY92">
        <v>1.3350000000000001E-2</v>
      </c>
      <c r="AZ92">
        <v>-2.5100000000000001E-3</v>
      </c>
      <c r="BA92">
        <v>0.10631</v>
      </c>
      <c r="BB92">
        <v>0.99</v>
      </c>
      <c r="BC92" t="s">
        <v>70</v>
      </c>
      <c r="BD92">
        <v>0.55200000000000005</v>
      </c>
      <c r="BE92">
        <v>0.55200000000000005</v>
      </c>
      <c r="BF92" t="s">
        <v>71</v>
      </c>
      <c r="BG92">
        <v>0.27272727272727199</v>
      </c>
      <c r="BI92">
        <v>13</v>
      </c>
      <c r="BJ92">
        <v>0.10631</v>
      </c>
      <c r="BK92">
        <v>0.27272727272727199</v>
      </c>
    </row>
    <row r="93" spans="1:63">
      <c r="A93">
        <v>232</v>
      </c>
      <c r="B93" t="s">
        <v>540</v>
      </c>
      <c r="D93" t="s">
        <v>60</v>
      </c>
      <c r="E93">
        <v>252514</v>
      </c>
      <c r="F93">
        <v>253479</v>
      </c>
      <c r="G93" t="s">
        <v>74</v>
      </c>
      <c r="H93">
        <v>322</v>
      </c>
      <c r="I93" t="s">
        <v>63</v>
      </c>
      <c r="J93">
        <v>5</v>
      </c>
      <c r="K93" t="str">
        <f>HYPERLINK("Gene232-zp_tree_all.dnd", "Gene232-tree")</f>
        <v>Gene232-tree</v>
      </c>
      <c r="L93">
        <v>4</v>
      </c>
      <c r="M93">
        <v>1</v>
      </c>
      <c r="N93">
        <v>4</v>
      </c>
      <c r="O93">
        <v>1</v>
      </c>
      <c r="P93">
        <v>0.2</v>
      </c>
      <c r="Q93" t="s">
        <v>64</v>
      </c>
      <c r="R93" t="s">
        <v>65</v>
      </c>
      <c r="S93" t="s">
        <v>66</v>
      </c>
      <c r="T93" t="s">
        <v>66</v>
      </c>
      <c r="U93">
        <v>0</v>
      </c>
      <c r="V93">
        <v>0</v>
      </c>
      <c r="W93">
        <v>6</v>
      </c>
      <c r="X93">
        <v>0</v>
      </c>
      <c r="Y93">
        <v>0</v>
      </c>
      <c r="Z93">
        <v>0</v>
      </c>
      <c r="AA93">
        <v>0</v>
      </c>
      <c r="AB93">
        <v>5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5</v>
      </c>
      <c r="AJ93">
        <v>2</v>
      </c>
      <c r="AK93">
        <v>18</v>
      </c>
      <c r="AL93">
        <v>1</v>
      </c>
      <c r="AM93">
        <v>28</v>
      </c>
      <c r="AN93">
        <v>6</v>
      </c>
      <c r="AO93" t="s">
        <v>542</v>
      </c>
      <c r="AP93" t="s">
        <v>543</v>
      </c>
      <c r="AQ93">
        <v>0.53900000000000003</v>
      </c>
      <c r="AR93" t="s">
        <v>69</v>
      </c>
      <c r="AS93">
        <v>46</v>
      </c>
      <c r="AT93">
        <v>7</v>
      </c>
      <c r="AU93">
        <v>2.878E-2</v>
      </c>
      <c r="AV93">
        <v>-5.2599999999999999E-3</v>
      </c>
      <c r="AW93">
        <v>0.12816</v>
      </c>
      <c r="AX93">
        <v>-2.3460000000000002E-2</v>
      </c>
      <c r="AY93">
        <v>5.3E-3</v>
      </c>
      <c r="AZ93">
        <v>-1.09E-3</v>
      </c>
      <c r="BA93">
        <v>4.1369999999999997E-2</v>
      </c>
      <c r="BB93">
        <v>1</v>
      </c>
      <c r="BC93" t="s">
        <v>70</v>
      </c>
      <c r="BD93">
        <v>0.85899999999999999</v>
      </c>
      <c r="BE93">
        <v>0.73799999999999999</v>
      </c>
      <c r="BF93" t="s">
        <v>71</v>
      </c>
      <c r="BG93">
        <v>0.144859813084112</v>
      </c>
      <c r="BI93">
        <v>53</v>
      </c>
      <c r="BJ93">
        <v>4.1369999999999997E-2</v>
      </c>
      <c r="BK93">
        <v>0.144859813084112</v>
      </c>
    </row>
    <row r="94" spans="1:63">
      <c r="A94">
        <v>259</v>
      </c>
      <c r="B94" t="s">
        <v>551</v>
      </c>
      <c r="D94" t="s">
        <v>60</v>
      </c>
      <c r="E94">
        <v>282469</v>
      </c>
      <c r="F94">
        <v>282894</v>
      </c>
      <c r="G94" t="s">
        <v>553</v>
      </c>
      <c r="H94">
        <v>142</v>
      </c>
      <c r="I94" t="s">
        <v>85</v>
      </c>
      <c r="J94">
        <v>4</v>
      </c>
      <c r="K94" t="str">
        <f>HYPERLINK("Gene259-zp_tree_all.dnd", "Gene259-tree")</f>
        <v>Gene259-tree</v>
      </c>
      <c r="L94">
        <v>1</v>
      </c>
      <c r="M94">
        <v>3</v>
      </c>
      <c r="N94">
        <v>1</v>
      </c>
      <c r="O94">
        <v>3</v>
      </c>
      <c r="P94">
        <v>0.75</v>
      </c>
      <c r="Q94" t="s">
        <v>65</v>
      </c>
      <c r="R94" t="s">
        <v>86</v>
      </c>
      <c r="S94" t="s">
        <v>66</v>
      </c>
      <c r="T94" t="s">
        <v>66</v>
      </c>
      <c r="U94">
        <v>0</v>
      </c>
      <c r="V94">
        <v>0</v>
      </c>
      <c r="W94">
        <v>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6</v>
      </c>
      <c r="AH94">
        <v>0</v>
      </c>
      <c r="AI94">
        <v>4</v>
      </c>
      <c r="AJ94">
        <v>1</v>
      </c>
      <c r="AK94">
        <v>22</v>
      </c>
      <c r="AL94">
        <v>6</v>
      </c>
      <c r="AM94">
        <v>4</v>
      </c>
      <c r="AN94">
        <v>0</v>
      </c>
      <c r="AO94" t="s">
        <v>554</v>
      </c>
      <c r="AP94" t="s">
        <v>68</v>
      </c>
      <c r="AQ94">
        <v>1.8879999999999999</v>
      </c>
      <c r="AR94" t="s">
        <v>69</v>
      </c>
      <c r="AS94">
        <v>26</v>
      </c>
      <c r="AT94">
        <v>6</v>
      </c>
      <c r="AU94">
        <v>3.7560000000000003E-2</v>
      </c>
      <c r="AV94">
        <v>-5.5900000000000004E-3</v>
      </c>
      <c r="AW94">
        <v>0.14967</v>
      </c>
      <c r="AX94">
        <v>-2.5219999999999999E-2</v>
      </c>
      <c r="AY94">
        <v>9.1900000000000003E-3</v>
      </c>
      <c r="AZ94">
        <v>-1.6199999999999999E-3</v>
      </c>
      <c r="BA94">
        <v>6.1429999999999998E-2</v>
      </c>
      <c r="BB94">
        <v>1</v>
      </c>
      <c r="BC94" t="s">
        <v>70</v>
      </c>
      <c r="BD94">
        <v>-0.23</v>
      </c>
      <c r="BE94">
        <v>-0.23</v>
      </c>
      <c r="BF94" t="s">
        <v>71</v>
      </c>
      <c r="BG94">
        <v>0.1875</v>
      </c>
      <c r="BI94">
        <v>32</v>
      </c>
      <c r="BJ94">
        <v>6.1429999999999998E-2</v>
      </c>
      <c r="BK94">
        <v>0.1875</v>
      </c>
    </row>
    <row r="95" spans="1:63">
      <c r="A95">
        <v>263</v>
      </c>
      <c r="B95" t="s">
        <v>555</v>
      </c>
      <c r="D95" t="s">
        <v>60</v>
      </c>
      <c r="E95">
        <v>285775</v>
      </c>
      <c r="F95">
        <v>285984</v>
      </c>
      <c r="G95" t="s">
        <v>557</v>
      </c>
      <c r="H95">
        <v>70</v>
      </c>
      <c r="I95" t="s">
        <v>63</v>
      </c>
      <c r="J95">
        <v>5</v>
      </c>
      <c r="K95" t="str">
        <f>HYPERLINK("Gene263-zp_tree_all.dnd", "Gene263-tree")</f>
        <v>Gene263-tree</v>
      </c>
      <c r="L95">
        <v>5</v>
      </c>
      <c r="M95">
        <v>0</v>
      </c>
      <c r="N95">
        <v>5</v>
      </c>
      <c r="O95">
        <v>0</v>
      </c>
      <c r="P95">
        <v>0</v>
      </c>
      <c r="Q95" t="s">
        <v>96</v>
      </c>
      <c r="R95" t="s">
        <v>66</v>
      </c>
      <c r="S95" t="s">
        <v>66</v>
      </c>
      <c r="T95" t="s">
        <v>66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5</v>
      </c>
      <c r="AJ95">
        <v>1</v>
      </c>
      <c r="AK95">
        <v>10</v>
      </c>
      <c r="AL95">
        <v>0</v>
      </c>
      <c r="AM95">
        <v>2</v>
      </c>
      <c r="AN95">
        <v>0</v>
      </c>
      <c r="AO95" t="s">
        <v>68</v>
      </c>
      <c r="AP95" t="s">
        <v>68</v>
      </c>
      <c r="AQ95">
        <v>0</v>
      </c>
      <c r="AR95" t="s">
        <v>69</v>
      </c>
      <c r="AS95">
        <v>12</v>
      </c>
      <c r="AT95">
        <v>0</v>
      </c>
      <c r="AU95">
        <v>2.4760000000000001E-2</v>
      </c>
      <c r="AV95">
        <v>-3.49E-3</v>
      </c>
      <c r="AW95">
        <v>0.10851</v>
      </c>
      <c r="AX95">
        <v>-1.6379999999999999E-2</v>
      </c>
      <c r="AY95">
        <v>0</v>
      </c>
      <c r="AZ95">
        <v>0</v>
      </c>
      <c r="BA95">
        <v>0</v>
      </c>
      <c r="BB95">
        <v>1</v>
      </c>
      <c r="BC95" t="s">
        <v>70</v>
      </c>
      <c r="BD95">
        <v>-0.70299999999999996</v>
      </c>
      <c r="BE95">
        <v>-0.70299999999999996</v>
      </c>
      <c r="BF95" t="s">
        <v>71</v>
      </c>
      <c r="BG95">
        <v>3.8461538461538401E-2</v>
      </c>
      <c r="BI95">
        <v>12</v>
      </c>
      <c r="BJ95">
        <v>0</v>
      </c>
      <c r="BK95">
        <v>3.8461538461538401E-2</v>
      </c>
    </row>
    <row r="96" spans="1:63">
      <c r="A96">
        <v>275</v>
      </c>
      <c r="B96" t="s">
        <v>558</v>
      </c>
      <c r="D96" t="s">
        <v>60</v>
      </c>
      <c r="E96">
        <v>296429</v>
      </c>
      <c r="F96">
        <v>297166</v>
      </c>
      <c r="G96" t="s">
        <v>560</v>
      </c>
      <c r="H96">
        <v>246</v>
      </c>
      <c r="I96" t="s">
        <v>85</v>
      </c>
      <c r="J96">
        <v>4</v>
      </c>
      <c r="K96" t="str">
        <f>HYPERLINK("Gene275-zp_tree_all.dnd", "Gene275-tree")</f>
        <v>Gene275-tree</v>
      </c>
      <c r="L96">
        <v>0</v>
      </c>
      <c r="M96">
        <v>4</v>
      </c>
      <c r="N96">
        <v>0</v>
      </c>
      <c r="O96">
        <v>4</v>
      </c>
      <c r="P96">
        <v>1</v>
      </c>
      <c r="Q96" t="s">
        <v>66</v>
      </c>
      <c r="R96" t="s">
        <v>64</v>
      </c>
      <c r="S96" t="s">
        <v>66</v>
      </c>
      <c r="T96" t="s">
        <v>66</v>
      </c>
      <c r="U96">
        <v>0</v>
      </c>
      <c r="V96">
        <v>0</v>
      </c>
      <c r="W96">
        <v>10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10</v>
      </c>
      <c r="AH96">
        <v>0</v>
      </c>
      <c r="AI96">
        <v>4</v>
      </c>
      <c r="AJ96">
        <v>0</v>
      </c>
      <c r="AK96">
        <v>18</v>
      </c>
      <c r="AL96">
        <v>11</v>
      </c>
      <c r="AM96">
        <v>0</v>
      </c>
      <c r="AN96">
        <v>0</v>
      </c>
      <c r="AO96" t="s">
        <v>561</v>
      </c>
      <c r="AP96" t="s">
        <v>68</v>
      </c>
      <c r="AQ96">
        <v>1.0760000000000001</v>
      </c>
      <c r="AR96" t="s">
        <v>69</v>
      </c>
      <c r="AS96">
        <v>18</v>
      </c>
      <c r="AT96">
        <v>11</v>
      </c>
      <c r="AU96">
        <v>1.9650000000000001E-2</v>
      </c>
      <c r="AV96">
        <v>-4.3899999999999998E-3</v>
      </c>
      <c r="AW96">
        <v>5.722E-2</v>
      </c>
      <c r="AX96">
        <v>-1.383E-2</v>
      </c>
      <c r="AY96">
        <v>9.6900000000000007E-3</v>
      </c>
      <c r="AZ96">
        <v>-2.0699999999999998E-3</v>
      </c>
      <c r="BA96">
        <v>0.16929</v>
      </c>
      <c r="BB96">
        <v>1</v>
      </c>
      <c r="BC96" t="s">
        <v>70</v>
      </c>
      <c r="BD96">
        <v>-0.86099999999999999</v>
      </c>
      <c r="BE96">
        <v>-0.86099999999999999</v>
      </c>
      <c r="BF96" t="s">
        <v>71</v>
      </c>
      <c r="BG96">
        <v>0.18</v>
      </c>
      <c r="BI96">
        <v>29</v>
      </c>
      <c r="BJ96">
        <v>0.16929</v>
      </c>
      <c r="BK96">
        <v>0.18</v>
      </c>
    </row>
    <row r="97" spans="1:63">
      <c r="A97">
        <v>276</v>
      </c>
      <c r="B97" t="s">
        <v>562</v>
      </c>
      <c r="D97" t="s">
        <v>60</v>
      </c>
      <c r="E97">
        <v>297170</v>
      </c>
      <c r="F97">
        <v>298327</v>
      </c>
      <c r="G97" t="s">
        <v>564</v>
      </c>
      <c r="H97">
        <v>386</v>
      </c>
      <c r="I97" t="s">
        <v>85</v>
      </c>
      <c r="J97">
        <v>4</v>
      </c>
      <c r="K97" t="str">
        <f>HYPERLINK("Gene276-zp_tree_all.dnd", "Gene276-tree")</f>
        <v>Gene276-tree</v>
      </c>
      <c r="L97">
        <v>0</v>
      </c>
      <c r="M97">
        <v>4</v>
      </c>
      <c r="N97">
        <v>0</v>
      </c>
      <c r="O97">
        <v>4</v>
      </c>
      <c r="P97">
        <v>1</v>
      </c>
      <c r="Q97" t="s">
        <v>66</v>
      </c>
      <c r="R97" t="s">
        <v>64</v>
      </c>
      <c r="S97" t="s">
        <v>66</v>
      </c>
      <c r="T97" t="s">
        <v>66</v>
      </c>
      <c r="U97">
        <v>0</v>
      </c>
      <c r="V97">
        <v>0</v>
      </c>
      <c r="W97">
        <v>20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20</v>
      </c>
      <c r="AH97">
        <v>0</v>
      </c>
      <c r="AI97">
        <v>4</v>
      </c>
      <c r="AJ97">
        <v>1</v>
      </c>
      <c r="AK97">
        <v>46</v>
      </c>
      <c r="AL97">
        <v>18</v>
      </c>
      <c r="AM97">
        <v>5</v>
      </c>
      <c r="AN97">
        <v>2</v>
      </c>
      <c r="AO97" t="s">
        <v>565</v>
      </c>
      <c r="AP97" t="s">
        <v>566</v>
      </c>
      <c r="AQ97">
        <v>6.8000000000000005E-2</v>
      </c>
      <c r="AR97" t="s">
        <v>69</v>
      </c>
      <c r="AS97">
        <v>51</v>
      </c>
      <c r="AT97">
        <v>20</v>
      </c>
      <c r="AU97">
        <v>3.1379999999999998E-2</v>
      </c>
      <c r="AV97">
        <v>-7.2500000000000004E-3</v>
      </c>
      <c r="AW97">
        <v>0.10724</v>
      </c>
      <c r="AX97">
        <v>-2.7040000000000002E-2</v>
      </c>
      <c r="AY97">
        <v>1.171E-2</v>
      </c>
      <c r="AZ97">
        <v>-2.3999999999999998E-3</v>
      </c>
      <c r="BA97">
        <v>0.10920000000000001</v>
      </c>
      <c r="BB97">
        <v>1</v>
      </c>
      <c r="BC97" t="s">
        <v>70</v>
      </c>
      <c r="BD97">
        <v>-0.505</v>
      </c>
      <c r="BE97">
        <v>-0.505</v>
      </c>
      <c r="BF97" t="s">
        <v>71</v>
      </c>
      <c r="BG97">
        <v>8.1174438687392006E-2</v>
      </c>
      <c r="BI97">
        <v>71</v>
      </c>
      <c r="BJ97">
        <v>0.10920000000000001</v>
      </c>
      <c r="BK97">
        <v>8.1174438687392006E-2</v>
      </c>
    </row>
    <row r="98" spans="1:63">
      <c r="A98">
        <v>291</v>
      </c>
      <c r="B98" t="s">
        <v>567</v>
      </c>
      <c r="D98" t="s">
        <v>60</v>
      </c>
      <c r="E98">
        <v>313396</v>
      </c>
      <c r="F98">
        <v>313971</v>
      </c>
      <c r="G98" t="s">
        <v>74</v>
      </c>
      <c r="H98">
        <v>192</v>
      </c>
      <c r="I98" t="s">
        <v>63</v>
      </c>
      <c r="J98">
        <v>5</v>
      </c>
      <c r="K98" t="str">
        <f>HYPERLINK("Gene291-zp_tree_all.dnd", "Gene291-tree")</f>
        <v>Gene291-tree</v>
      </c>
      <c r="L98">
        <v>4</v>
      </c>
      <c r="M98">
        <v>1</v>
      </c>
      <c r="N98">
        <v>4</v>
      </c>
      <c r="O98">
        <v>1</v>
      </c>
      <c r="P98">
        <v>0.2</v>
      </c>
      <c r="Q98" t="s">
        <v>64</v>
      </c>
      <c r="R98" t="s">
        <v>65</v>
      </c>
      <c r="S98" t="s">
        <v>66</v>
      </c>
      <c r="T98" t="s">
        <v>66</v>
      </c>
      <c r="U98">
        <v>0</v>
      </c>
      <c r="V98">
        <v>0</v>
      </c>
      <c r="W98">
        <v>2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4</v>
      </c>
      <c r="AJ98">
        <v>2</v>
      </c>
      <c r="AK98">
        <v>13</v>
      </c>
      <c r="AL98">
        <v>1</v>
      </c>
      <c r="AM98">
        <v>15</v>
      </c>
      <c r="AN98">
        <v>1</v>
      </c>
      <c r="AO98" t="s">
        <v>569</v>
      </c>
      <c r="AP98" t="s">
        <v>570</v>
      </c>
      <c r="AQ98">
        <v>7.5999999999999998E-2</v>
      </c>
      <c r="AR98" t="s">
        <v>69</v>
      </c>
      <c r="AS98">
        <v>28</v>
      </c>
      <c r="AT98">
        <v>2</v>
      </c>
      <c r="AU98">
        <v>2.5000000000000001E-2</v>
      </c>
      <c r="AV98">
        <v>-4.1000000000000003E-3</v>
      </c>
      <c r="AW98">
        <v>0.11365</v>
      </c>
      <c r="AX98">
        <v>-1.8890000000000001E-2</v>
      </c>
      <c r="AY98">
        <v>2.2499999999999998E-3</v>
      </c>
      <c r="AZ98">
        <v>-5.5000000000000003E-4</v>
      </c>
      <c r="BA98">
        <v>1.976E-2</v>
      </c>
      <c r="BB98">
        <v>1</v>
      </c>
      <c r="BC98" t="s">
        <v>70</v>
      </c>
      <c r="BD98">
        <v>0.53300000000000003</v>
      </c>
      <c r="BE98">
        <v>0.53300000000000003</v>
      </c>
      <c r="BF98" t="s">
        <v>71</v>
      </c>
      <c r="BG98">
        <v>8.6956521739130405E-2</v>
      </c>
      <c r="BI98">
        <v>30</v>
      </c>
      <c r="BJ98">
        <v>1.976E-2</v>
      </c>
      <c r="BK98">
        <v>8.6956521739130405E-2</v>
      </c>
    </row>
    <row r="99" spans="1:63">
      <c r="A99">
        <v>292</v>
      </c>
      <c r="B99" t="s">
        <v>571</v>
      </c>
      <c r="D99" t="s">
        <v>60</v>
      </c>
      <c r="E99">
        <v>314025</v>
      </c>
      <c r="F99">
        <v>314795</v>
      </c>
      <c r="G99" t="s">
        <v>74</v>
      </c>
      <c r="H99">
        <v>257</v>
      </c>
      <c r="I99" t="s">
        <v>85</v>
      </c>
      <c r="J99">
        <v>4</v>
      </c>
      <c r="K99" t="str">
        <f>HYPERLINK("Gene292-zp_tree_all.dnd", "Gene292-tree")</f>
        <v>Gene292-tree</v>
      </c>
      <c r="L99">
        <v>2</v>
      </c>
      <c r="M99">
        <v>2</v>
      </c>
      <c r="N99">
        <v>2</v>
      </c>
      <c r="O99">
        <v>2</v>
      </c>
      <c r="P99">
        <v>0.5</v>
      </c>
      <c r="Q99" t="s">
        <v>124</v>
      </c>
      <c r="R99" t="s">
        <v>124</v>
      </c>
      <c r="S99" t="s">
        <v>66</v>
      </c>
      <c r="T99" t="s">
        <v>66</v>
      </c>
      <c r="U99">
        <v>1</v>
      </c>
      <c r="V99">
        <v>2</v>
      </c>
      <c r="W99">
        <v>6</v>
      </c>
      <c r="X99">
        <v>0.25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</v>
      </c>
      <c r="AE99">
        <v>0</v>
      </c>
      <c r="AF99">
        <v>2</v>
      </c>
      <c r="AG99">
        <v>6</v>
      </c>
      <c r="AH99">
        <v>0.25</v>
      </c>
      <c r="AI99">
        <v>4</v>
      </c>
      <c r="AJ99">
        <v>1</v>
      </c>
      <c r="AK99">
        <v>35</v>
      </c>
      <c r="AL99">
        <v>8</v>
      </c>
      <c r="AM99">
        <v>4</v>
      </c>
      <c r="AN99">
        <v>0</v>
      </c>
      <c r="AO99" t="s">
        <v>573</v>
      </c>
      <c r="AP99" t="s">
        <v>68</v>
      </c>
      <c r="AQ99">
        <v>0.54200000000000004</v>
      </c>
      <c r="AR99" t="s">
        <v>69</v>
      </c>
      <c r="AS99">
        <v>39</v>
      </c>
      <c r="AT99">
        <v>8</v>
      </c>
      <c r="AU99">
        <v>3.005E-2</v>
      </c>
      <c r="AV99">
        <v>-7.7499999999999999E-3</v>
      </c>
      <c r="AW99">
        <v>0.12479999999999999</v>
      </c>
      <c r="AX99">
        <v>-3.2009999999999997E-2</v>
      </c>
      <c r="AY99">
        <v>6.1900000000000002E-3</v>
      </c>
      <c r="AZ99">
        <v>-2.0999999999999999E-3</v>
      </c>
      <c r="BA99">
        <v>4.9639999999999997E-2</v>
      </c>
      <c r="BB99">
        <v>1</v>
      </c>
      <c r="BC99" t="s">
        <v>70</v>
      </c>
      <c r="BD99">
        <v>-0.36099999999999999</v>
      </c>
      <c r="BE99">
        <v>-0.57699999999999996</v>
      </c>
      <c r="BF99" t="s">
        <v>71</v>
      </c>
      <c r="BG99">
        <v>0.122093023255813</v>
      </c>
      <c r="BI99">
        <v>47</v>
      </c>
      <c r="BJ99">
        <v>4.9639999999999997E-2</v>
      </c>
      <c r="BK99">
        <v>0.122093023255813</v>
      </c>
    </row>
    <row r="100" spans="1:63">
      <c r="A100">
        <v>294</v>
      </c>
      <c r="B100" t="s">
        <v>574</v>
      </c>
      <c r="D100" t="s">
        <v>60</v>
      </c>
      <c r="E100">
        <v>316512</v>
      </c>
      <c r="F100">
        <v>317600</v>
      </c>
      <c r="G100" t="s">
        <v>74</v>
      </c>
      <c r="H100">
        <v>363</v>
      </c>
      <c r="I100" t="s">
        <v>85</v>
      </c>
      <c r="J100">
        <v>4</v>
      </c>
      <c r="K100" t="str">
        <f>HYPERLINK("Gene294-zp_tree_all.dnd", "Gene294-tree")</f>
        <v>Gene294-tree</v>
      </c>
      <c r="L100">
        <v>3</v>
      </c>
      <c r="M100">
        <v>1</v>
      </c>
      <c r="N100">
        <v>3</v>
      </c>
      <c r="O100">
        <v>1</v>
      </c>
      <c r="P100">
        <v>0.25</v>
      </c>
      <c r="Q100" t="s">
        <v>86</v>
      </c>
      <c r="R100" t="s">
        <v>65</v>
      </c>
      <c r="S100" t="s">
        <v>66</v>
      </c>
      <c r="T100" t="s">
        <v>66</v>
      </c>
      <c r="U100">
        <v>0</v>
      </c>
      <c r="V100">
        <v>0</v>
      </c>
      <c r="W100">
        <v>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3</v>
      </c>
      <c r="AH100">
        <v>0</v>
      </c>
      <c r="AI100">
        <v>4</v>
      </c>
      <c r="AJ100">
        <v>1</v>
      </c>
      <c r="AK100">
        <v>61</v>
      </c>
      <c r="AL100">
        <v>3</v>
      </c>
      <c r="AM100">
        <v>2</v>
      </c>
      <c r="AN100">
        <v>0</v>
      </c>
      <c r="AO100" t="s">
        <v>576</v>
      </c>
      <c r="AP100" t="s">
        <v>68</v>
      </c>
      <c r="AQ100">
        <v>0.47299999999999998</v>
      </c>
      <c r="AR100" t="s">
        <v>69</v>
      </c>
      <c r="AS100">
        <v>63</v>
      </c>
      <c r="AT100">
        <v>3</v>
      </c>
      <c r="AU100">
        <v>2.954E-2</v>
      </c>
      <c r="AV100">
        <v>-7.8300000000000002E-3</v>
      </c>
      <c r="AW100">
        <v>0.15382000000000001</v>
      </c>
      <c r="AX100">
        <v>-4.2119999999999998E-2</v>
      </c>
      <c r="AY100">
        <v>1.75E-3</v>
      </c>
      <c r="AZ100">
        <v>-7.1000000000000002E-4</v>
      </c>
      <c r="BA100">
        <v>1.1379999999999999E-2</v>
      </c>
      <c r="BB100">
        <v>1</v>
      </c>
      <c r="BC100" t="s">
        <v>70</v>
      </c>
      <c r="BD100">
        <v>-0.50900000000000001</v>
      </c>
      <c r="BE100">
        <v>-0.66300000000000003</v>
      </c>
      <c r="BF100" t="s">
        <v>71</v>
      </c>
      <c r="BG100">
        <v>7.5999999999999998E-2</v>
      </c>
      <c r="BI100">
        <v>66</v>
      </c>
      <c r="BJ100">
        <v>1.1379999999999999E-2</v>
      </c>
      <c r="BK100">
        <v>7.5999999999999998E-2</v>
      </c>
    </row>
    <row r="101" spans="1:63">
      <c r="A101">
        <v>299</v>
      </c>
      <c r="B101" t="s">
        <v>579</v>
      </c>
      <c r="D101" t="s">
        <v>60</v>
      </c>
      <c r="E101">
        <v>322271</v>
      </c>
      <c r="F101">
        <v>323116</v>
      </c>
      <c r="G101" t="s">
        <v>581</v>
      </c>
      <c r="H101">
        <v>282</v>
      </c>
      <c r="I101" t="s">
        <v>63</v>
      </c>
      <c r="J101">
        <v>5</v>
      </c>
      <c r="K101" t="str">
        <f>HYPERLINK("Gene299-zp_tree_all.dnd", "Gene299-tree")</f>
        <v>Gene299-tree</v>
      </c>
      <c r="L101">
        <v>2</v>
      </c>
      <c r="M101">
        <v>3</v>
      </c>
      <c r="N101">
        <v>2</v>
      </c>
      <c r="O101">
        <v>3</v>
      </c>
      <c r="P101">
        <v>0.6</v>
      </c>
      <c r="Q101" t="s">
        <v>124</v>
      </c>
      <c r="R101" t="s">
        <v>86</v>
      </c>
      <c r="S101" t="s">
        <v>66</v>
      </c>
      <c r="T101" t="s">
        <v>66</v>
      </c>
      <c r="U101">
        <v>1</v>
      </c>
      <c r="V101">
        <v>2</v>
      </c>
      <c r="W101">
        <v>4</v>
      </c>
      <c r="X101">
        <v>0.33333000000000002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</v>
      </c>
      <c r="AE101">
        <v>0</v>
      </c>
      <c r="AF101">
        <v>2</v>
      </c>
      <c r="AG101">
        <v>4</v>
      </c>
      <c r="AH101">
        <v>0.33333000000000002</v>
      </c>
      <c r="AI101">
        <v>5</v>
      </c>
      <c r="AJ101">
        <v>2</v>
      </c>
      <c r="AK101">
        <v>32</v>
      </c>
      <c r="AL101">
        <v>4</v>
      </c>
      <c r="AM101">
        <v>19</v>
      </c>
      <c r="AN101">
        <v>2</v>
      </c>
      <c r="AO101" t="s">
        <v>582</v>
      </c>
      <c r="AP101" t="s">
        <v>583</v>
      </c>
      <c r="AQ101">
        <v>0.189</v>
      </c>
      <c r="AR101" t="s">
        <v>69</v>
      </c>
      <c r="AS101">
        <v>51</v>
      </c>
      <c r="AT101">
        <v>6</v>
      </c>
      <c r="AU101">
        <v>2.92E-2</v>
      </c>
      <c r="AV101">
        <v>-3.0799999999999998E-3</v>
      </c>
      <c r="AW101">
        <v>0.11488</v>
      </c>
      <c r="AX101">
        <v>-1.359E-2</v>
      </c>
      <c r="AY101">
        <v>3.79E-3</v>
      </c>
      <c r="AZ101">
        <v>-4.6000000000000001E-4</v>
      </c>
      <c r="BA101">
        <v>3.3020000000000001E-2</v>
      </c>
      <c r="BB101">
        <v>1</v>
      </c>
      <c r="BC101" t="s">
        <v>70</v>
      </c>
      <c r="BD101">
        <v>0.22</v>
      </c>
      <c r="BE101">
        <v>-6.3E-2</v>
      </c>
      <c r="BF101" t="s">
        <v>71</v>
      </c>
      <c r="BG101">
        <v>0.112820512820512</v>
      </c>
      <c r="BI101">
        <v>57</v>
      </c>
      <c r="BJ101">
        <v>3.3020000000000001E-2</v>
      </c>
      <c r="BK101">
        <v>0.112820512820512</v>
      </c>
    </row>
    <row r="102" spans="1:63">
      <c r="A102">
        <v>315</v>
      </c>
      <c r="B102" t="s">
        <v>590</v>
      </c>
      <c r="D102" t="s">
        <v>60</v>
      </c>
      <c r="E102">
        <v>340025</v>
      </c>
      <c r="F102">
        <v>340582</v>
      </c>
      <c r="G102" t="s">
        <v>592</v>
      </c>
      <c r="H102">
        <v>186</v>
      </c>
      <c r="I102" t="s">
        <v>63</v>
      </c>
      <c r="J102">
        <v>5</v>
      </c>
      <c r="K102" t="str">
        <f>HYPERLINK("Gene315-zp_tree_all.dnd", "Gene315-tree")</f>
        <v>Gene315-tree</v>
      </c>
      <c r="L102">
        <v>5</v>
      </c>
      <c r="M102">
        <v>0</v>
      </c>
      <c r="N102">
        <v>5</v>
      </c>
      <c r="O102">
        <v>0</v>
      </c>
      <c r="P102">
        <v>0</v>
      </c>
      <c r="Q102" t="s">
        <v>96</v>
      </c>
      <c r="R102" t="s">
        <v>66</v>
      </c>
      <c r="S102" t="s">
        <v>66</v>
      </c>
      <c r="T102" t="s">
        <v>66</v>
      </c>
      <c r="U102">
        <v>0</v>
      </c>
      <c r="V102">
        <v>0</v>
      </c>
      <c r="W102">
        <v>5</v>
      </c>
      <c r="X102">
        <v>0</v>
      </c>
      <c r="Y102">
        <v>0</v>
      </c>
      <c r="Z102">
        <v>0</v>
      </c>
      <c r="AA102">
        <v>0</v>
      </c>
      <c r="AB102">
        <v>5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5</v>
      </c>
      <c r="AJ102">
        <v>2</v>
      </c>
      <c r="AK102">
        <v>17</v>
      </c>
      <c r="AL102">
        <v>0</v>
      </c>
      <c r="AM102">
        <v>17</v>
      </c>
      <c r="AN102">
        <v>5</v>
      </c>
      <c r="AO102" t="s">
        <v>68</v>
      </c>
      <c r="AP102" t="s">
        <v>593</v>
      </c>
      <c r="AQ102">
        <v>1.0389999999999999</v>
      </c>
      <c r="AR102" t="s">
        <v>69</v>
      </c>
      <c r="AS102">
        <v>34</v>
      </c>
      <c r="AT102">
        <v>5</v>
      </c>
      <c r="AU102">
        <v>3.3869999999999997E-2</v>
      </c>
      <c r="AV102">
        <v>-6.1900000000000002E-3</v>
      </c>
      <c r="AW102">
        <v>0.16053999999999999</v>
      </c>
      <c r="AX102">
        <v>-2.9790000000000001E-2</v>
      </c>
      <c r="AY102">
        <v>6.7999999999999996E-3</v>
      </c>
      <c r="AZ102">
        <v>-1.34E-3</v>
      </c>
      <c r="BA102">
        <v>4.2360000000000002E-2</v>
      </c>
      <c r="BB102">
        <v>1</v>
      </c>
      <c r="BC102" t="s">
        <v>70</v>
      </c>
      <c r="BD102">
        <v>0.93799999999999994</v>
      </c>
      <c r="BE102">
        <v>0.26800000000000002</v>
      </c>
      <c r="BF102" t="s">
        <v>71</v>
      </c>
      <c r="BG102">
        <v>0.123893805309734</v>
      </c>
      <c r="BI102">
        <v>39</v>
      </c>
      <c r="BJ102">
        <v>4.2360000000000002E-2</v>
      </c>
      <c r="BK102">
        <v>0.123893805309734</v>
      </c>
    </row>
    <row r="103" spans="1:63">
      <c r="A103">
        <v>320</v>
      </c>
      <c r="B103" t="s">
        <v>594</v>
      </c>
      <c r="D103" t="s">
        <v>60</v>
      </c>
      <c r="E103">
        <v>344551</v>
      </c>
      <c r="F103">
        <v>345459</v>
      </c>
      <c r="G103" t="s">
        <v>596</v>
      </c>
      <c r="H103">
        <v>303</v>
      </c>
      <c r="I103" t="s">
        <v>63</v>
      </c>
      <c r="J103">
        <v>5</v>
      </c>
      <c r="K103" t="str">
        <f>HYPERLINK("Gene320-zp_tree_all.dnd", "Gene320-tree")</f>
        <v>Gene320-tree</v>
      </c>
      <c r="L103">
        <v>3</v>
      </c>
      <c r="M103">
        <v>2</v>
      </c>
      <c r="N103">
        <v>3</v>
      </c>
      <c r="O103">
        <v>2</v>
      </c>
      <c r="P103">
        <v>0.4</v>
      </c>
      <c r="Q103" t="s">
        <v>86</v>
      </c>
      <c r="R103" t="s">
        <v>124</v>
      </c>
      <c r="S103" t="s">
        <v>66</v>
      </c>
      <c r="T103" t="s">
        <v>66</v>
      </c>
      <c r="U103">
        <v>1</v>
      </c>
      <c r="V103">
        <v>2</v>
      </c>
      <c r="W103">
        <v>12</v>
      </c>
      <c r="X103">
        <v>0.14285999999999999</v>
      </c>
      <c r="Y103">
        <v>0</v>
      </c>
      <c r="Z103">
        <v>0</v>
      </c>
      <c r="AA103">
        <v>0</v>
      </c>
      <c r="AB103">
        <v>8</v>
      </c>
      <c r="AC103">
        <v>0</v>
      </c>
      <c r="AD103">
        <v>0</v>
      </c>
      <c r="AE103">
        <v>0</v>
      </c>
      <c r="AF103">
        <v>0</v>
      </c>
      <c r="AG103">
        <v>6</v>
      </c>
      <c r="AH103">
        <v>0</v>
      </c>
      <c r="AI103">
        <v>5</v>
      </c>
      <c r="AJ103">
        <v>2</v>
      </c>
      <c r="AK103">
        <v>26</v>
      </c>
      <c r="AL103">
        <v>6</v>
      </c>
      <c r="AM103">
        <v>17</v>
      </c>
      <c r="AN103">
        <v>8</v>
      </c>
      <c r="AO103" t="s">
        <v>597</v>
      </c>
      <c r="AP103" t="s">
        <v>598</v>
      </c>
      <c r="AQ103">
        <v>1.0840000000000001</v>
      </c>
      <c r="AR103" t="s">
        <v>69</v>
      </c>
      <c r="AS103">
        <v>43</v>
      </c>
      <c r="AT103">
        <v>14</v>
      </c>
      <c r="AU103">
        <v>2.9260000000000001E-2</v>
      </c>
      <c r="AV103">
        <v>-3.2100000000000002E-3</v>
      </c>
      <c r="AW103">
        <v>0.11031000000000001</v>
      </c>
      <c r="AX103">
        <v>-1.2E-2</v>
      </c>
      <c r="AY103">
        <v>9.5899999999999996E-3</v>
      </c>
      <c r="AZ103">
        <v>-1.34E-3</v>
      </c>
      <c r="BA103">
        <v>8.695E-2</v>
      </c>
      <c r="BB103">
        <v>1</v>
      </c>
      <c r="BC103" t="s">
        <v>70</v>
      </c>
      <c r="BD103">
        <v>0.19800000000000001</v>
      </c>
      <c r="BE103">
        <v>0.19800000000000001</v>
      </c>
      <c r="BF103" t="s">
        <v>71</v>
      </c>
      <c r="BG103">
        <v>7.0707070707070704E-2</v>
      </c>
      <c r="BI103">
        <v>57</v>
      </c>
      <c r="BJ103">
        <v>8.695E-2</v>
      </c>
      <c r="BK103">
        <v>7.0707070707070704E-2</v>
      </c>
    </row>
    <row r="104" spans="1:63">
      <c r="A104">
        <v>323</v>
      </c>
      <c r="B104" t="s">
        <v>599</v>
      </c>
      <c r="D104" t="s">
        <v>60</v>
      </c>
      <c r="E104">
        <v>348724</v>
      </c>
      <c r="F104">
        <v>349956</v>
      </c>
      <c r="G104" t="s">
        <v>74</v>
      </c>
      <c r="H104">
        <v>411</v>
      </c>
      <c r="I104" t="s">
        <v>63</v>
      </c>
      <c r="J104">
        <v>5</v>
      </c>
      <c r="K104" t="str">
        <f>HYPERLINK("Gene323-zp_tree_all.dnd", "Gene323-tree")</f>
        <v>Gene323-tree</v>
      </c>
      <c r="L104">
        <v>5</v>
      </c>
      <c r="M104">
        <v>0</v>
      </c>
      <c r="N104">
        <v>5</v>
      </c>
      <c r="O104">
        <v>0</v>
      </c>
      <c r="P104">
        <v>0</v>
      </c>
      <c r="Q104" t="s">
        <v>96</v>
      </c>
      <c r="R104" t="s">
        <v>66</v>
      </c>
      <c r="S104" t="s">
        <v>66</v>
      </c>
      <c r="T104" t="s">
        <v>66</v>
      </c>
      <c r="U104">
        <v>0</v>
      </c>
      <c r="V104">
        <v>0</v>
      </c>
      <c r="W104">
        <v>5</v>
      </c>
      <c r="X104">
        <v>0</v>
      </c>
      <c r="Y104">
        <v>0</v>
      </c>
      <c r="Z104">
        <v>0</v>
      </c>
      <c r="AA104">
        <v>0</v>
      </c>
      <c r="AB104">
        <v>5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5</v>
      </c>
      <c r="AJ104">
        <v>2</v>
      </c>
      <c r="AK104">
        <v>32</v>
      </c>
      <c r="AL104">
        <v>0</v>
      </c>
      <c r="AM104">
        <v>40</v>
      </c>
      <c r="AN104">
        <v>5</v>
      </c>
      <c r="AO104" t="s">
        <v>68</v>
      </c>
      <c r="AP104" t="s">
        <v>601</v>
      </c>
      <c r="AQ104">
        <v>0.77400000000000002</v>
      </c>
      <c r="AR104" t="s">
        <v>69</v>
      </c>
      <c r="AS104">
        <v>72</v>
      </c>
      <c r="AT104">
        <v>5</v>
      </c>
      <c r="AU104">
        <v>3.1789999999999999E-2</v>
      </c>
      <c r="AV104">
        <v>-6.2700000000000004E-3</v>
      </c>
      <c r="AW104">
        <v>0.15894</v>
      </c>
      <c r="AX104">
        <v>-3.1550000000000002E-2</v>
      </c>
      <c r="AY104">
        <v>3.0999999999999999E-3</v>
      </c>
      <c r="AZ104">
        <v>-7.3999999999999999E-4</v>
      </c>
      <c r="BA104">
        <v>1.9519999999999999E-2</v>
      </c>
      <c r="BB104">
        <v>1</v>
      </c>
      <c r="BC104" t="s">
        <v>70</v>
      </c>
      <c r="BD104">
        <v>0.67400000000000004</v>
      </c>
      <c r="BE104">
        <v>0.46300000000000002</v>
      </c>
      <c r="BF104" t="s">
        <v>71</v>
      </c>
      <c r="BG104">
        <v>3.8696537678207701E-2</v>
      </c>
      <c r="BI104">
        <v>77</v>
      </c>
      <c r="BJ104">
        <v>1.9519999999999999E-2</v>
      </c>
      <c r="BK104">
        <v>3.8696537678207701E-2</v>
      </c>
    </row>
    <row r="105" spans="1:63">
      <c r="A105">
        <v>348</v>
      </c>
      <c r="B105" t="s">
        <v>616</v>
      </c>
      <c r="D105" t="s">
        <v>60</v>
      </c>
      <c r="E105">
        <v>376032</v>
      </c>
      <c r="F105">
        <v>376391</v>
      </c>
      <c r="G105" t="s">
        <v>618</v>
      </c>
      <c r="H105">
        <v>120</v>
      </c>
      <c r="I105" t="s">
        <v>63</v>
      </c>
      <c r="J105">
        <v>5</v>
      </c>
      <c r="K105" t="str">
        <f>HYPERLINK("Gene348-zp_tree_all.dnd", "Gene348-tree")</f>
        <v>Gene348-tree</v>
      </c>
      <c r="L105">
        <v>3</v>
      </c>
      <c r="M105">
        <v>2</v>
      </c>
      <c r="N105">
        <v>2</v>
      </c>
      <c r="O105">
        <v>2</v>
      </c>
      <c r="P105">
        <v>0.5</v>
      </c>
      <c r="Q105" t="s">
        <v>185</v>
      </c>
      <c r="R105" t="s">
        <v>124</v>
      </c>
      <c r="S105" t="s">
        <v>66</v>
      </c>
      <c r="T105" t="s">
        <v>66</v>
      </c>
      <c r="U105">
        <v>0</v>
      </c>
      <c r="V105">
        <v>0</v>
      </c>
      <c r="W105">
        <v>6</v>
      </c>
      <c r="X105">
        <v>0</v>
      </c>
      <c r="Y105">
        <v>0</v>
      </c>
      <c r="Z105">
        <v>0</v>
      </c>
      <c r="AA105">
        <v>0</v>
      </c>
      <c r="AB105">
        <v>3</v>
      </c>
      <c r="AC105">
        <v>0</v>
      </c>
      <c r="AD105">
        <v>0</v>
      </c>
      <c r="AE105">
        <v>0</v>
      </c>
      <c r="AF105">
        <v>0</v>
      </c>
      <c r="AG105">
        <v>3</v>
      </c>
      <c r="AH105">
        <v>0</v>
      </c>
      <c r="AI105">
        <v>4</v>
      </c>
      <c r="AJ105">
        <v>1</v>
      </c>
      <c r="AK105">
        <v>15</v>
      </c>
      <c r="AL105">
        <v>3</v>
      </c>
      <c r="AM105">
        <v>4</v>
      </c>
      <c r="AN105">
        <v>3</v>
      </c>
      <c r="AO105" t="s">
        <v>619</v>
      </c>
      <c r="AP105" t="s">
        <v>620</v>
      </c>
      <c r="AQ105">
        <v>3.7269999999999999</v>
      </c>
      <c r="AR105" t="s">
        <v>69</v>
      </c>
      <c r="AS105">
        <v>19</v>
      </c>
      <c r="AT105">
        <v>6</v>
      </c>
      <c r="AU105">
        <v>3.6569999999999998E-2</v>
      </c>
      <c r="AV105">
        <v>-4.79E-3</v>
      </c>
      <c r="AW105">
        <v>0.14560999999999999</v>
      </c>
      <c r="AX105">
        <v>-1.695E-2</v>
      </c>
      <c r="AY105">
        <v>1.234E-2</v>
      </c>
      <c r="AZ105">
        <v>-1.3500000000000001E-3</v>
      </c>
      <c r="BA105">
        <v>8.4779999999999994E-2</v>
      </c>
      <c r="BB105">
        <v>1</v>
      </c>
      <c r="BC105" t="s">
        <v>70</v>
      </c>
      <c r="BD105">
        <v>0.309</v>
      </c>
      <c r="BE105">
        <v>-0.29599999999999999</v>
      </c>
      <c r="BF105" t="s">
        <v>71</v>
      </c>
      <c r="BG105">
        <v>0.24503311258278099</v>
      </c>
      <c r="BI105">
        <v>25</v>
      </c>
      <c r="BJ105">
        <v>8.4779999999999994E-2</v>
      </c>
      <c r="BK105">
        <v>0.24503311258278099</v>
      </c>
    </row>
    <row r="106" spans="1:63">
      <c r="A106">
        <v>351</v>
      </c>
      <c r="B106" t="s">
        <v>621</v>
      </c>
      <c r="D106" t="s">
        <v>60</v>
      </c>
      <c r="E106">
        <v>390880</v>
      </c>
      <c r="F106">
        <v>391017</v>
      </c>
      <c r="G106" t="s">
        <v>623</v>
      </c>
      <c r="H106">
        <v>46</v>
      </c>
      <c r="I106" t="s">
        <v>63</v>
      </c>
      <c r="J106">
        <v>5</v>
      </c>
      <c r="K106" t="str">
        <f>HYPERLINK("Gene351-zp_tree_all.dnd", "Gene351-tree")</f>
        <v>Gene351-tree</v>
      </c>
      <c r="L106">
        <v>3</v>
      </c>
      <c r="M106">
        <v>2</v>
      </c>
      <c r="N106">
        <v>2</v>
      </c>
      <c r="O106">
        <v>2</v>
      </c>
      <c r="P106">
        <v>0.5</v>
      </c>
      <c r="Q106" t="s">
        <v>185</v>
      </c>
      <c r="R106" t="s">
        <v>124</v>
      </c>
      <c r="S106" t="s">
        <v>66</v>
      </c>
      <c r="T106" t="s">
        <v>66</v>
      </c>
      <c r="U106">
        <v>0</v>
      </c>
      <c r="V106">
        <v>0</v>
      </c>
      <c r="W106">
        <v>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2</v>
      </c>
      <c r="AH106">
        <v>0</v>
      </c>
      <c r="AI106">
        <v>3</v>
      </c>
      <c r="AJ106">
        <v>1</v>
      </c>
      <c r="AK106">
        <v>1</v>
      </c>
      <c r="AL106">
        <v>2</v>
      </c>
      <c r="AM106">
        <v>1</v>
      </c>
      <c r="AN106">
        <v>0</v>
      </c>
      <c r="AO106" t="s">
        <v>624</v>
      </c>
      <c r="AP106" t="s">
        <v>68</v>
      </c>
      <c r="AQ106">
        <v>0.69299999999999995</v>
      </c>
      <c r="AR106" t="s">
        <v>69</v>
      </c>
      <c r="AS106">
        <v>2</v>
      </c>
      <c r="AT106">
        <v>2</v>
      </c>
      <c r="AU106">
        <v>1.5699999999999999E-2</v>
      </c>
      <c r="AV106">
        <v>-2.0300000000000001E-3</v>
      </c>
      <c r="AW106">
        <v>3.8649999999999997E-2</v>
      </c>
      <c r="AX106">
        <v>-6.8799999999999998E-3</v>
      </c>
      <c r="AY106">
        <v>9.4500000000000001E-3</v>
      </c>
      <c r="AZ106">
        <v>-2.2399999999999998E-3</v>
      </c>
      <c r="BA106">
        <v>0.24440999999999999</v>
      </c>
      <c r="BB106">
        <v>0.77900000000000003</v>
      </c>
      <c r="BC106" t="s">
        <v>188</v>
      </c>
      <c r="BD106">
        <v>0.27300000000000002</v>
      </c>
      <c r="BE106">
        <v>0.27300000000000002</v>
      </c>
      <c r="BF106" t="s">
        <v>71</v>
      </c>
      <c r="BG106">
        <v>-9.85915492957746E-2</v>
      </c>
      <c r="BI106">
        <v>4</v>
      </c>
      <c r="BJ106">
        <v>0.24440999999999999</v>
      </c>
      <c r="BK106">
        <v>-9.85915492957746E-2</v>
      </c>
    </row>
    <row r="107" spans="1:63">
      <c r="A107">
        <v>363</v>
      </c>
      <c r="B107" t="s">
        <v>638</v>
      </c>
      <c r="D107" t="s">
        <v>60</v>
      </c>
      <c r="E107">
        <v>412540</v>
      </c>
      <c r="F107">
        <v>413151</v>
      </c>
      <c r="G107" t="s">
        <v>640</v>
      </c>
      <c r="H107">
        <v>204</v>
      </c>
      <c r="I107" t="s">
        <v>85</v>
      </c>
      <c r="J107">
        <v>4</v>
      </c>
      <c r="K107" t="str">
        <f>HYPERLINK("Gene363-zp_tree_all.dnd", "Gene363-tree")</f>
        <v>Gene363-tree</v>
      </c>
      <c r="L107">
        <v>1</v>
      </c>
      <c r="M107">
        <v>3</v>
      </c>
      <c r="N107">
        <v>1</v>
      </c>
      <c r="O107">
        <v>3</v>
      </c>
      <c r="P107">
        <v>0.75</v>
      </c>
      <c r="Q107" t="s">
        <v>65</v>
      </c>
      <c r="R107" t="s">
        <v>86</v>
      </c>
      <c r="S107" t="s">
        <v>66</v>
      </c>
      <c r="T107" t="s">
        <v>66</v>
      </c>
      <c r="U107">
        <v>1</v>
      </c>
      <c r="V107">
        <v>2</v>
      </c>
      <c r="W107">
        <v>5</v>
      </c>
      <c r="X107">
        <v>0.28571000000000002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2</v>
      </c>
      <c r="AF107">
        <v>2</v>
      </c>
      <c r="AG107">
        <v>5</v>
      </c>
      <c r="AH107">
        <v>0.28571000000000002</v>
      </c>
      <c r="AI107">
        <v>4</v>
      </c>
      <c r="AJ107">
        <v>1</v>
      </c>
      <c r="AK107">
        <v>26</v>
      </c>
      <c r="AL107">
        <v>5</v>
      </c>
      <c r="AM107">
        <v>2</v>
      </c>
      <c r="AN107">
        <v>2</v>
      </c>
      <c r="AO107" t="s">
        <v>641</v>
      </c>
      <c r="AP107" t="s">
        <v>642</v>
      </c>
      <c r="AQ107">
        <v>7.093</v>
      </c>
      <c r="AR107" t="s">
        <v>69</v>
      </c>
      <c r="AS107">
        <v>28</v>
      </c>
      <c r="AT107">
        <v>7</v>
      </c>
      <c r="AU107">
        <v>2.9409999999999999E-2</v>
      </c>
      <c r="AV107">
        <v>-4.9500000000000004E-3</v>
      </c>
      <c r="AW107">
        <v>0.10843</v>
      </c>
      <c r="AX107">
        <v>-2.1479999999999999E-2</v>
      </c>
      <c r="AY107">
        <v>8.2199999999999999E-3</v>
      </c>
      <c r="AZ107">
        <v>-1.1800000000000001E-3</v>
      </c>
      <c r="BA107">
        <v>7.578E-2</v>
      </c>
      <c r="BB107">
        <v>1</v>
      </c>
      <c r="BC107" t="s">
        <v>70</v>
      </c>
      <c r="BD107">
        <v>-0.30499999999999999</v>
      </c>
      <c r="BE107">
        <v>-0.58399999999999996</v>
      </c>
      <c r="BF107" t="s">
        <v>71</v>
      </c>
      <c r="BG107">
        <v>0.109634551495016</v>
      </c>
      <c r="BI107">
        <v>35</v>
      </c>
      <c r="BJ107">
        <v>7.578E-2</v>
      </c>
      <c r="BK107">
        <v>0.109634551495016</v>
      </c>
    </row>
    <row r="108" spans="1:63">
      <c r="A108">
        <v>376</v>
      </c>
      <c r="B108" t="s">
        <v>643</v>
      </c>
      <c r="D108" t="s">
        <v>60</v>
      </c>
      <c r="E108">
        <v>426577</v>
      </c>
      <c r="F108">
        <v>427257</v>
      </c>
      <c r="G108" t="s">
        <v>645</v>
      </c>
      <c r="H108">
        <v>227</v>
      </c>
      <c r="I108" t="s">
        <v>85</v>
      </c>
      <c r="J108">
        <v>4</v>
      </c>
      <c r="K108" t="str">
        <f>HYPERLINK("Gene376-zp_tree_all.dnd", "Gene376-tree")</f>
        <v>Gene376-tree</v>
      </c>
      <c r="L108">
        <v>2</v>
      </c>
      <c r="M108">
        <v>2</v>
      </c>
      <c r="N108">
        <v>2</v>
      </c>
      <c r="O108">
        <v>2</v>
      </c>
      <c r="P108">
        <v>0.5</v>
      </c>
      <c r="Q108" t="s">
        <v>124</v>
      </c>
      <c r="R108" t="s">
        <v>124</v>
      </c>
      <c r="S108" t="s">
        <v>66</v>
      </c>
      <c r="T108" t="s">
        <v>66</v>
      </c>
      <c r="U108">
        <v>0</v>
      </c>
      <c r="V108">
        <v>0</v>
      </c>
      <c r="W108">
        <v>6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6</v>
      </c>
      <c r="AH108">
        <v>0</v>
      </c>
      <c r="AI108">
        <v>4</v>
      </c>
      <c r="AJ108">
        <v>1</v>
      </c>
      <c r="AK108">
        <v>31</v>
      </c>
      <c r="AL108">
        <v>6</v>
      </c>
      <c r="AM108">
        <v>2</v>
      </c>
      <c r="AN108">
        <v>0</v>
      </c>
      <c r="AO108" t="s">
        <v>646</v>
      </c>
      <c r="AP108" t="s">
        <v>68</v>
      </c>
      <c r="AQ108">
        <v>0.71099999999999997</v>
      </c>
      <c r="AR108" t="s">
        <v>69</v>
      </c>
      <c r="AS108">
        <v>33</v>
      </c>
      <c r="AT108">
        <v>6</v>
      </c>
      <c r="AU108">
        <v>2.8629999999999999E-2</v>
      </c>
      <c r="AV108">
        <v>-6.5599999999999999E-3</v>
      </c>
      <c r="AW108">
        <v>0.12529000000000001</v>
      </c>
      <c r="AX108">
        <v>-2.8160000000000001E-2</v>
      </c>
      <c r="AY108">
        <v>5.6499999999999996E-3</v>
      </c>
      <c r="AZ108">
        <v>-1.83E-3</v>
      </c>
      <c r="BA108">
        <v>4.5069999999999999E-2</v>
      </c>
      <c r="BB108">
        <v>1</v>
      </c>
      <c r="BC108" t="s">
        <v>70</v>
      </c>
      <c r="BD108">
        <v>-0.61399999999999999</v>
      </c>
      <c r="BE108">
        <v>-0.61399999999999999</v>
      </c>
      <c r="BF108" t="s">
        <v>71</v>
      </c>
      <c r="BG108">
        <v>0.20945945945945901</v>
      </c>
      <c r="BI108">
        <v>39</v>
      </c>
      <c r="BJ108">
        <v>4.5069999999999999E-2</v>
      </c>
      <c r="BK108">
        <v>0.20945945945945901</v>
      </c>
    </row>
    <row r="109" spans="1:63">
      <c r="A109">
        <v>378</v>
      </c>
      <c r="B109" t="s">
        <v>647</v>
      </c>
      <c r="D109" t="s">
        <v>60</v>
      </c>
      <c r="E109">
        <v>428831</v>
      </c>
      <c r="F109">
        <v>429976</v>
      </c>
      <c r="G109" t="s">
        <v>649</v>
      </c>
      <c r="H109">
        <v>382</v>
      </c>
      <c r="I109" t="s">
        <v>63</v>
      </c>
      <c r="J109">
        <v>5</v>
      </c>
      <c r="K109" t="str">
        <f>HYPERLINK("Gene378-zp_tree_all.dnd", "Gene378-tree")</f>
        <v>Gene378-tree</v>
      </c>
      <c r="L109">
        <v>2</v>
      </c>
      <c r="M109">
        <v>3</v>
      </c>
      <c r="N109">
        <v>2</v>
      </c>
      <c r="O109">
        <v>3</v>
      </c>
      <c r="P109">
        <v>0.6</v>
      </c>
      <c r="Q109" t="s">
        <v>124</v>
      </c>
      <c r="R109" t="s">
        <v>86</v>
      </c>
      <c r="S109" t="s">
        <v>66</v>
      </c>
      <c r="T109" t="s">
        <v>66</v>
      </c>
      <c r="U109">
        <v>0</v>
      </c>
      <c r="V109">
        <v>0</v>
      </c>
      <c r="W109">
        <v>9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9</v>
      </c>
      <c r="AH109">
        <v>0</v>
      </c>
      <c r="AI109">
        <v>4</v>
      </c>
      <c r="AJ109">
        <v>2</v>
      </c>
      <c r="AK109">
        <v>21</v>
      </c>
      <c r="AL109">
        <v>3</v>
      </c>
      <c r="AM109">
        <v>30</v>
      </c>
      <c r="AN109">
        <v>6</v>
      </c>
      <c r="AO109" t="s">
        <v>650</v>
      </c>
      <c r="AP109" t="s">
        <v>651</v>
      </c>
      <c r="AQ109">
        <v>0.19400000000000001</v>
      </c>
      <c r="AR109" t="s">
        <v>69</v>
      </c>
      <c r="AS109">
        <v>51</v>
      </c>
      <c r="AT109">
        <v>9</v>
      </c>
      <c r="AU109">
        <v>2.6880000000000001E-2</v>
      </c>
      <c r="AV109">
        <v>-4.9100000000000003E-3</v>
      </c>
      <c r="AW109">
        <v>0.11601</v>
      </c>
      <c r="AX109">
        <v>-2.138E-2</v>
      </c>
      <c r="AY109">
        <v>5.3699999999999998E-3</v>
      </c>
      <c r="AZ109">
        <v>-1.1199999999999999E-3</v>
      </c>
      <c r="BA109">
        <v>4.6309999999999997E-2</v>
      </c>
      <c r="BB109">
        <v>1</v>
      </c>
      <c r="BC109" t="s">
        <v>70</v>
      </c>
      <c r="BD109">
        <v>0.66200000000000003</v>
      </c>
      <c r="BE109">
        <v>0.66200000000000003</v>
      </c>
      <c r="BF109" t="s">
        <v>71</v>
      </c>
      <c r="BG109">
        <v>3.0837004405286299E-2</v>
      </c>
      <c r="BI109">
        <v>60</v>
      </c>
      <c r="BJ109">
        <v>4.6309999999999997E-2</v>
      </c>
      <c r="BK109">
        <v>3.0837004405286299E-2</v>
      </c>
    </row>
    <row r="110" spans="1:63">
      <c r="A110">
        <v>382</v>
      </c>
      <c r="B110" t="s">
        <v>655</v>
      </c>
      <c r="D110" t="s">
        <v>60</v>
      </c>
      <c r="E110">
        <v>432372</v>
      </c>
      <c r="F110">
        <v>433319</v>
      </c>
      <c r="G110" t="s">
        <v>657</v>
      </c>
      <c r="H110">
        <v>316</v>
      </c>
      <c r="I110" t="s">
        <v>63</v>
      </c>
      <c r="J110">
        <v>5</v>
      </c>
      <c r="K110" t="str">
        <f>HYPERLINK("Gene382-zp_tree_all.dnd", "Gene382-tree")</f>
        <v>Gene382-tree</v>
      </c>
      <c r="L110">
        <v>2</v>
      </c>
      <c r="M110">
        <v>3</v>
      </c>
      <c r="N110">
        <v>2</v>
      </c>
      <c r="O110">
        <v>3</v>
      </c>
      <c r="P110">
        <v>0.6</v>
      </c>
      <c r="Q110" t="s">
        <v>124</v>
      </c>
      <c r="R110" t="s">
        <v>86</v>
      </c>
      <c r="S110" t="s">
        <v>66</v>
      </c>
      <c r="T110" t="s">
        <v>66</v>
      </c>
      <c r="U110">
        <v>0</v>
      </c>
      <c r="V110">
        <v>0</v>
      </c>
      <c r="W110">
        <v>6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6</v>
      </c>
      <c r="AH110">
        <v>0</v>
      </c>
      <c r="AI110">
        <v>5</v>
      </c>
      <c r="AJ110">
        <v>2</v>
      </c>
      <c r="AK110">
        <v>31</v>
      </c>
      <c r="AL110">
        <v>4</v>
      </c>
      <c r="AM110">
        <v>16</v>
      </c>
      <c r="AN110">
        <v>2</v>
      </c>
      <c r="AO110" t="s">
        <v>658</v>
      </c>
      <c r="AP110" t="s">
        <v>659</v>
      </c>
      <c r="AQ110">
        <v>3.5999999999999997E-2</v>
      </c>
      <c r="AR110" t="s">
        <v>69</v>
      </c>
      <c r="AS110">
        <v>47</v>
      </c>
      <c r="AT110">
        <v>6</v>
      </c>
      <c r="AU110">
        <v>2.563E-2</v>
      </c>
      <c r="AV110">
        <v>-3.7599999999999999E-3</v>
      </c>
      <c r="AW110">
        <v>9.9790000000000004E-2</v>
      </c>
      <c r="AX110">
        <v>-1.521E-2</v>
      </c>
      <c r="AY110">
        <v>4.0699999999999998E-3</v>
      </c>
      <c r="AZ110">
        <v>-6.9999999999999999E-4</v>
      </c>
      <c r="BA110">
        <v>4.0750000000000001E-2</v>
      </c>
      <c r="BB110">
        <v>1</v>
      </c>
      <c r="BC110" t="s">
        <v>70</v>
      </c>
      <c r="BD110">
        <v>9.4E-2</v>
      </c>
      <c r="BE110">
        <v>-6.3E-2</v>
      </c>
      <c r="BF110" t="s">
        <v>71</v>
      </c>
      <c r="BG110">
        <v>5.2380952380952299E-2</v>
      </c>
      <c r="BI110">
        <v>53</v>
      </c>
      <c r="BJ110">
        <v>4.0750000000000001E-2</v>
      </c>
      <c r="BK110">
        <v>5.2380952380952299E-2</v>
      </c>
    </row>
    <row r="111" spans="1:63">
      <c r="A111">
        <v>383</v>
      </c>
      <c r="B111" t="s">
        <v>660</v>
      </c>
      <c r="D111" t="s">
        <v>60</v>
      </c>
      <c r="E111">
        <v>433315</v>
      </c>
      <c r="F111">
        <v>434259</v>
      </c>
      <c r="G111" t="s">
        <v>657</v>
      </c>
      <c r="H111">
        <v>315</v>
      </c>
      <c r="I111" t="s">
        <v>63</v>
      </c>
      <c r="J111">
        <v>5</v>
      </c>
      <c r="K111" t="str">
        <f>HYPERLINK("Gene383-zp_tree_all.dnd", "Gene383-tree")</f>
        <v>Gene383-tree</v>
      </c>
      <c r="L111">
        <v>3</v>
      </c>
      <c r="M111">
        <v>2</v>
      </c>
      <c r="N111">
        <v>3</v>
      </c>
      <c r="O111">
        <v>2</v>
      </c>
      <c r="P111">
        <v>0.4</v>
      </c>
      <c r="Q111" t="s">
        <v>86</v>
      </c>
      <c r="R111" t="s">
        <v>124</v>
      </c>
      <c r="S111" t="s">
        <v>66</v>
      </c>
      <c r="T111" t="s">
        <v>66</v>
      </c>
      <c r="U111">
        <v>0</v>
      </c>
      <c r="V111">
        <v>0</v>
      </c>
      <c r="W111">
        <v>7</v>
      </c>
      <c r="X111">
        <v>0</v>
      </c>
      <c r="Y111">
        <v>0</v>
      </c>
      <c r="Z111">
        <v>0</v>
      </c>
      <c r="AA111">
        <v>0</v>
      </c>
      <c r="AB111">
        <v>4</v>
      </c>
      <c r="AC111">
        <v>0</v>
      </c>
      <c r="AD111">
        <v>0</v>
      </c>
      <c r="AE111">
        <v>0</v>
      </c>
      <c r="AF111">
        <v>0</v>
      </c>
      <c r="AG111">
        <v>3</v>
      </c>
      <c r="AH111">
        <v>0</v>
      </c>
      <c r="AI111">
        <v>5</v>
      </c>
      <c r="AJ111">
        <v>2</v>
      </c>
      <c r="AK111">
        <v>20</v>
      </c>
      <c r="AL111">
        <v>3</v>
      </c>
      <c r="AM111">
        <v>25</v>
      </c>
      <c r="AN111">
        <v>5</v>
      </c>
      <c r="AO111" t="s">
        <v>662</v>
      </c>
      <c r="AP111" t="s">
        <v>663</v>
      </c>
      <c r="AQ111">
        <v>0.13900000000000001</v>
      </c>
      <c r="AR111" t="s">
        <v>69</v>
      </c>
      <c r="AS111">
        <v>45</v>
      </c>
      <c r="AT111">
        <v>8</v>
      </c>
      <c r="AU111">
        <v>2.8250000000000001E-2</v>
      </c>
      <c r="AV111">
        <v>-5.3899999999999998E-3</v>
      </c>
      <c r="AW111">
        <v>0.11065</v>
      </c>
      <c r="AX111">
        <v>-2.1510000000000001E-2</v>
      </c>
      <c r="AY111">
        <v>5.8599999999999998E-3</v>
      </c>
      <c r="AZ111">
        <v>-1.23E-3</v>
      </c>
      <c r="BA111">
        <v>5.2979999999999999E-2</v>
      </c>
      <c r="BB111">
        <v>1</v>
      </c>
      <c r="BC111" t="s">
        <v>70</v>
      </c>
      <c r="BD111">
        <v>0.84899999999999998</v>
      </c>
      <c r="BE111">
        <v>0.69199999999999995</v>
      </c>
      <c r="BF111" t="s">
        <v>71</v>
      </c>
      <c r="BG111">
        <v>8.43373493975903E-2</v>
      </c>
      <c r="BI111">
        <v>53</v>
      </c>
      <c r="BJ111">
        <v>5.2979999999999999E-2</v>
      </c>
      <c r="BK111">
        <v>8.43373493975903E-2</v>
      </c>
    </row>
    <row r="112" spans="1:63">
      <c r="A112">
        <v>409</v>
      </c>
      <c r="B112" t="s">
        <v>674</v>
      </c>
      <c r="D112" t="s">
        <v>60</v>
      </c>
      <c r="E112">
        <v>457023</v>
      </c>
      <c r="F112">
        <v>457793</v>
      </c>
      <c r="G112" t="s">
        <v>74</v>
      </c>
      <c r="H112">
        <v>257</v>
      </c>
      <c r="I112" t="s">
        <v>85</v>
      </c>
      <c r="J112">
        <v>4</v>
      </c>
      <c r="K112" t="str">
        <f>HYPERLINK("Gene409-zp_tree_all.dnd", "Gene409-tree")</f>
        <v>Gene409-tree</v>
      </c>
      <c r="L112">
        <v>0</v>
      </c>
      <c r="M112">
        <v>4</v>
      </c>
      <c r="N112">
        <v>0</v>
      </c>
      <c r="O112">
        <v>4</v>
      </c>
      <c r="P112">
        <v>1</v>
      </c>
      <c r="Q112" t="s">
        <v>66</v>
      </c>
      <c r="R112" t="s">
        <v>64</v>
      </c>
      <c r="S112" t="s">
        <v>66</v>
      </c>
      <c r="T112" t="s">
        <v>66</v>
      </c>
      <c r="U112">
        <v>1</v>
      </c>
      <c r="V112">
        <v>2</v>
      </c>
      <c r="W112">
        <v>9</v>
      </c>
      <c r="X112">
        <v>0.18182000000000001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</v>
      </c>
      <c r="AE112">
        <v>0</v>
      </c>
      <c r="AF112">
        <v>2</v>
      </c>
      <c r="AG112">
        <v>9</v>
      </c>
      <c r="AH112">
        <v>0.18182000000000001</v>
      </c>
      <c r="AI112">
        <v>4</v>
      </c>
      <c r="AJ112">
        <v>1</v>
      </c>
      <c r="AK112">
        <v>40</v>
      </c>
      <c r="AL112">
        <v>9</v>
      </c>
      <c r="AM112">
        <v>0</v>
      </c>
      <c r="AN112">
        <v>2</v>
      </c>
      <c r="AO112" t="s">
        <v>676</v>
      </c>
      <c r="AP112" t="s">
        <v>68</v>
      </c>
      <c r="AQ112">
        <v>1.0029999999999999</v>
      </c>
      <c r="AR112" t="s">
        <v>69</v>
      </c>
      <c r="AS112">
        <v>40</v>
      </c>
      <c r="AT112">
        <v>11</v>
      </c>
      <c r="AU112">
        <v>3.1989999999999998E-2</v>
      </c>
      <c r="AV112">
        <v>-8.3099999999999997E-3</v>
      </c>
      <c r="AW112">
        <v>0.11658</v>
      </c>
      <c r="AX112">
        <v>-3.4520000000000002E-2</v>
      </c>
      <c r="AY112">
        <v>9.4500000000000001E-3</v>
      </c>
      <c r="AZ112">
        <v>-1.7600000000000001E-3</v>
      </c>
      <c r="BA112">
        <v>8.1049999999999997E-2</v>
      </c>
      <c r="BB112">
        <v>1</v>
      </c>
      <c r="BC112" t="s">
        <v>70</v>
      </c>
      <c r="BD112">
        <v>-0.39300000000000002</v>
      </c>
      <c r="BE112">
        <v>-0.59599999999999997</v>
      </c>
      <c r="BF112" t="s">
        <v>71</v>
      </c>
      <c r="BG112">
        <v>0.1005291005291</v>
      </c>
      <c r="BI112">
        <v>51</v>
      </c>
      <c r="BJ112">
        <v>8.1049999999999997E-2</v>
      </c>
      <c r="BK112">
        <v>0.1005291005291</v>
      </c>
    </row>
    <row r="113" spans="1:63">
      <c r="A113">
        <v>426</v>
      </c>
      <c r="B113" t="s">
        <v>683</v>
      </c>
      <c r="D113" t="s">
        <v>60</v>
      </c>
      <c r="E113">
        <v>473803</v>
      </c>
      <c r="F113">
        <v>474222</v>
      </c>
      <c r="G113" t="s">
        <v>685</v>
      </c>
      <c r="H113">
        <v>140</v>
      </c>
      <c r="I113" t="s">
        <v>63</v>
      </c>
      <c r="J113">
        <v>5</v>
      </c>
      <c r="K113" t="str">
        <f>HYPERLINK("Gene426-zp_tree_all.dnd", "Gene426-tree")</f>
        <v>Gene426-tree</v>
      </c>
      <c r="L113">
        <v>3</v>
      </c>
      <c r="M113">
        <v>2</v>
      </c>
      <c r="N113">
        <v>3</v>
      </c>
      <c r="O113">
        <v>2</v>
      </c>
      <c r="P113">
        <v>0.4</v>
      </c>
      <c r="Q113" t="s">
        <v>86</v>
      </c>
      <c r="R113" t="s">
        <v>124</v>
      </c>
      <c r="S113" t="s">
        <v>66</v>
      </c>
      <c r="T113" t="s">
        <v>66</v>
      </c>
      <c r="U113">
        <v>1</v>
      </c>
      <c r="V113">
        <v>2</v>
      </c>
      <c r="W113">
        <v>3</v>
      </c>
      <c r="X113">
        <v>0.4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2</v>
      </c>
      <c r="AF113">
        <v>2</v>
      </c>
      <c r="AG113">
        <v>3</v>
      </c>
      <c r="AH113">
        <v>0.4</v>
      </c>
      <c r="AI113">
        <v>5</v>
      </c>
      <c r="AJ113">
        <v>2</v>
      </c>
      <c r="AK113">
        <v>20</v>
      </c>
      <c r="AL113">
        <v>5</v>
      </c>
      <c r="AM113">
        <v>6</v>
      </c>
      <c r="AN113">
        <v>0</v>
      </c>
      <c r="AO113" t="s">
        <v>686</v>
      </c>
      <c r="AP113" t="s">
        <v>68</v>
      </c>
      <c r="AQ113">
        <v>1.107</v>
      </c>
      <c r="AR113" t="s">
        <v>69</v>
      </c>
      <c r="AS113">
        <v>26</v>
      </c>
      <c r="AT113">
        <v>5</v>
      </c>
      <c r="AU113">
        <v>3.3090000000000001E-2</v>
      </c>
      <c r="AV113">
        <v>-4.5900000000000003E-3</v>
      </c>
      <c r="AW113">
        <v>0.14913999999999999</v>
      </c>
      <c r="AX113">
        <v>-1.9939999999999999E-2</v>
      </c>
      <c r="AY113">
        <v>6.2199999999999998E-3</v>
      </c>
      <c r="AZ113">
        <v>-1.5299999999999999E-3</v>
      </c>
      <c r="BA113">
        <v>4.1689999999999998E-2</v>
      </c>
      <c r="BB113">
        <v>1</v>
      </c>
      <c r="BC113" t="s">
        <v>70</v>
      </c>
      <c r="BD113">
        <v>-0.629</v>
      </c>
      <c r="BE113">
        <v>-0.66300000000000003</v>
      </c>
      <c r="BF113" t="s">
        <v>71</v>
      </c>
      <c r="BG113">
        <v>6.0773480662983402E-2</v>
      </c>
      <c r="BI113">
        <v>31</v>
      </c>
      <c r="BJ113">
        <v>4.1689999999999998E-2</v>
      </c>
      <c r="BK113">
        <v>6.0773480662983402E-2</v>
      </c>
    </row>
    <row r="114" spans="1:63">
      <c r="A114">
        <v>429</v>
      </c>
      <c r="B114" t="s">
        <v>690</v>
      </c>
      <c r="D114" t="s">
        <v>60</v>
      </c>
      <c r="E114">
        <v>476059</v>
      </c>
      <c r="F114">
        <v>476490</v>
      </c>
      <c r="G114" t="s">
        <v>692</v>
      </c>
      <c r="H114">
        <v>144</v>
      </c>
      <c r="I114" t="s">
        <v>63</v>
      </c>
      <c r="J114">
        <v>5</v>
      </c>
      <c r="K114" t="str">
        <f>HYPERLINK("Gene429-zp_tree_all.dnd", "Gene429-tree")</f>
        <v>Gene429-tree</v>
      </c>
      <c r="L114">
        <v>3</v>
      </c>
      <c r="M114">
        <v>2</v>
      </c>
      <c r="N114">
        <v>3</v>
      </c>
      <c r="O114">
        <v>2</v>
      </c>
      <c r="P114">
        <v>0.4</v>
      </c>
      <c r="Q114" t="s">
        <v>86</v>
      </c>
      <c r="R114" t="s">
        <v>124</v>
      </c>
      <c r="S114" t="s">
        <v>66</v>
      </c>
      <c r="T114" t="s">
        <v>66</v>
      </c>
      <c r="U114">
        <v>0</v>
      </c>
      <c r="V114">
        <v>0</v>
      </c>
      <c r="W114">
        <v>3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3</v>
      </c>
      <c r="AH114">
        <v>0</v>
      </c>
      <c r="AI114">
        <v>4</v>
      </c>
      <c r="AJ114">
        <v>2</v>
      </c>
      <c r="AK114">
        <v>7</v>
      </c>
      <c r="AL114">
        <v>3</v>
      </c>
      <c r="AM114">
        <v>17</v>
      </c>
      <c r="AN114">
        <v>0</v>
      </c>
      <c r="AO114" t="s">
        <v>693</v>
      </c>
      <c r="AP114" t="s">
        <v>68</v>
      </c>
      <c r="AQ114">
        <v>1.3759999999999999</v>
      </c>
      <c r="AR114" t="s">
        <v>69</v>
      </c>
      <c r="AS114">
        <v>24</v>
      </c>
      <c r="AT114">
        <v>3</v>
      </c>
      <c r="AU114">
        <v>3.3329999999999999E-2</v>
      </c>
      <c r="AV114">
        <v>-6.0400000000000002E-3</v>
      </c>
      <c r="AW114">
        <v>0.15543999999999999</v>
      </c>
      <c r="AX114">
        <v>-3.0300000000000001E-2</v>
      </c>
      <c r="AY114">
        <v>3.65E-3</v>
      </c>
      <c r="AZ114">
        <v>-9.3999999999999997E-4</v>
      </c>
      <c r="BA114">
        <v>2.349E-2</v>
      </c>
      <c r="BB114">
        <v>1</v>
      </c>
      <c r="BC114" t="s">
        <v>70</v>
      </c>
      <c r="BD114">
        <v>0.71399999999999997</v>
      </c>
      <c r="BE114">
        <v>0.71399999999999997</v>
      </c>
      <c r="BF114" t="s">
        <v>71</v>
      </c>
      <c r="BG114">
        <v>5.5837563451776602E-2</v>
      </c>
      <c r="BI114">
        <v>27</v>
      </c>
      <c r="BJ114">
        <v>2.349E-2</v>
      </c>
      <c r="BK114">
        <v>5.5837563451776602E-2</v>
      </c>
    </row>
    <row r="115" spans="1:63">
      <c r="A115">
        <v>444</v>
      </c>
      <c r="B115" t="s">
        <v>697</v>
      </c>
      <c r="D115" t="s">
        <v>60</v>
      </c>
      <c r="E115">
        <v>494506</v>
      </c>
      <c r="F115">
        <v>494874</v>
      </c>
      <c r="G115" t="s">
        <v>699</v>
      </c>
      <c r="H115">
        <v>123</v>
      </c>
      <c r="I115" t="s">
        <v>63</v>
      </c>
      <c r="J115">
        <v>5</v>
      </c>
      <c r="K115" t="str">
        <f>HYPERLINK("Gene444-zp_tree_all.dnd", "Gene444-tree")</f>
        <v>Gene444-tree</v>
      </c>
      <c r="L115">
        <v>1</v>
      </c>
      <c r="M115">
        <v>4</v>
      </c>
      <c r="N115">
        <v>1</v>
      </c>
      <c r="O115">
        <v>4</v>
      </c>
      <c r="P115">
        <v>0.8</v>
      </c>
      <c r="Q115" t="s">
        <v>65</v>
      </c>
      <c r="R115" t="s">
        <v>64</v>
      </c>
      <c r="S115" t="s">
        <v>66</v>
      </c>
      <c r="T115" t="s">
        <v>66</v>
      </c>
      <c r="U115">
        <v>2</v>
      </c>
      <c r="V115">
        <v>4</v>
      </c>
      <c r="W115">
        <v>2</v>
      </c>
      <c r="X115">
        <v>0.66666999999999998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</v>
      </c>
      <c r="AE115">
        <v>2</v>
      </c>
      <c r="AF115">
        <v>4</v>
      </c>
      <c r="AG115">
        <v>2</v>
      </c>
      <c r="AH115">
        <v>0.66666999999999998</v>
      </c>
      <c r="AI115">
        <v>5</v>
      </c>
      <c r="AJ115">
        <v>2</v>
      </c>
      <c r="AK115">
        <v>16</v>
      </c>
      <c r="AL115">
        <v>5</v>
      </c>
      <c r="AM115">
        <v>7</v>
      </c>
      <c r="AN115">
        <v>1</v>
      </c>
      <c r="AO115" t="s">
        <v>700</v>
      </c>
      <c r="AP115" t="s">
        <v>701</v>
      </c>
      <c r="AQ115">
        <v>1.216</v>
      </c>
      <c r="AR115" t="s">
        <v>69</v>
      </c>
      <c r="AS115">
        <v>23</v>
      </c>
      <c r="AT115">
        <v>6</v>
      </c>
      <c r="AU115">
        <v>3.0890000000000001E-2</v>
      </c>
      <c r="AV115">
        <v>-2.7399999999999998E-3</v>
      </c>
      <c r="AW115">
        <v>0.15076000000000001</v>
      </c>
      <c r="AX115">
        <v>-1.4290000000000001E-2</v>
      </c>
      <c r="AY115">
        <v>7.0299999999999998E-3</v>
      </c>
      <c r="AZ115">
        <v>-1.2099999999999999E-3</v>
      </c>
      <c r="BA115">
        <v>4.666E-2</v>
      </c>
      <c r="BB115">
        <v>1</v>
      </c>
      <c r="BC115" t="s">
        <v>70</v>
      </c>
      <c r="BD115">
        <v>0.24199999999999999</v>
      </c>
      <c r="BE115">
        <v>-0.43</v>
      </c>
      <c r="BF115" t="s">
        <v>71</v>
      </c>
      <c r="BG115">
        <v>0.121019108280254</v>
      </c>
      <c r="BI115">
        <v>29</v>
      </c>
      <c r="BJ115">
        <v>4.666E-2</v>
      </c>
      <c r="BK115">
        <v>0.121019108280254</v>
      </c>
    </row>
    <row r="116" spans="1:63">
      <c r="A116">
        <v>451</v>
      </c>
      <c r="B116" t="s">
        <v>702</v>
      </c>
      <c r="D116" t="s">
        <v>60</v>
      </c>
      <c r="E116">
        <v>500166</v>
      </c>
      <c r="F116">
        <v>501428</v>
      </c>
      <c r="G116" t="s">
        <v>704</v>
      </c>
      <c r="H116">
        <v>421</v>
      </c>
      <c r="I116" t="s">
        <v>63</v>
      </c>
      <c r="J116">
        <v>5</v>
      </c>
      <c r="K116" t="str">
        <f>HYPERLINK("Gene451-zp_tree_all.dnd", "Gene451-tree")</f>
        <v>Gene451-tree</v>
      </c>
      <c r="L116">
        <v>2</v>
      </c>
      <c r="M116">
        <v>3</v>
      </c>
      <c r="N116">
        <v>2</v>
      </c>
      <c r="O116">
        <v>3</v>
      </c>
      <c r="P116">
        <v>0.6</v>
      </c>
      <c r="Q116" t="s">
        <v>124</v>
      </c>
      <c r="R116" t="s">
        <v>86</v>
      </c>
      <c r="S116" t="s">
        <v>66</v>
      </c>
      <c r="T116" t="s">
        <v>66</v>
      </c>
      <c r="U116">
        <v>1</v>
      </c>
      <c r="V116">
        <v>2</v>
      </c>
      <c r="W116">
        <v>4</v>
      </c>
      <c r="X116">
        <v>0.33333000000000002</v>
      </c>
      <c r="Y116">
        <v>0</v>
      </c>
      <c r="Z116">
        <v>0</v>
      </c>
      <c r="AA116">
        <v>0</v>
      </c>
      <c r="AB116">
        <v>3</v>
      </c>
      <c r="AC116">
        <v>0</v>
      </c>
      <c r="AD116">
        <v>0</v>
      </c>
      <c r="AE116">
        <v>0</v>
      </c>
      <c r="AF116">
        <v>0</v>
      </c>
      <c r="AG116">
        <v>3</v>
      </c>
      <c r="AH116">
        <v>0</v>
      </c>
      <c r="AI116">
        <v>5</v>
      </c>
      <c r="AJ116">
        <v>2</v>
      </c>
      <c r="AK116">
        <v>34</v>
      </c>
      <c r="AL116">
        <v>3</v>
      </c>
      <c r="AM116">
        <v>40</v>
      </c>
      <c r="AN116">
        <v>3</v>
      </c>
      <c r="AO116" t="s">
        <v>705</v>
      </c>
      <c r="AP116" t="s">
        <v>706</v>
      </c>
      <c r="AQ116">
        <v>0.19800000000000001</v>
      </c>
      <c r="AR116" t="s">
        <v>69</v>
      </c>
      <c r="AS116">
        <v>74</v>
      </c>
      <c r="AT116">
        <v>6</v>
      </c>
      <c r="AU116">
        <v>3.0880000000000001E-2</v>
      </c>
      <c r="AV116">
        <v>-4.7699999999999999E-3</v>
      </c>
      <c r="AW116">
        <v>0.13556000000000001</v>
      </c>
      <c r="AX116">
        <v>-2.2540000000000001E-2</v>
      </c>
      <c r="AY116">
        <v>2.7100000000000002E-3</v>
      </c>
      <c r="AZ116">
        <v>-3.2000000000000003E-4</v>
      </c>
      <c r="BA116">
        <v>1.9970000000000002E-2</v>
      </c>
      <c r="BB116">
        <v>1</v>
      </c>
      <c r="BC116" t="s">
        <v>70</v>
      </c>
      <c r="BD116">
        <v>0.63200000000000001</v>
      </c>
      <c r="BE116">
        <v>0.33700000000000002</v>
      </c>
      <c r="BF116" t="s">
        <v>71</v>
      </c>
      <c r="BG116">
        <v>9.9656357388316102E-2</v>
      </c>
      <c r="BI116">
        <v>80</v>
      </c>
      <c r="BJ116">
        <v>1.9970000000000002E-2</v>
      </c>
      <c r="BK116">
        <v>9.9656357388316102E-2</v>
      </c>
    </row>
    <row r="117" spans="1:63">
      <c r="A117">
        <v>455</v>
      </c>
      <c r="B117" t="s">
        <v>707</v>
      </c>
      <c r="D117" t="s">
        <v>60</v>
      </c>
      <c r="E117">
        <v>504689</v>
      </c>
      <c r="F117">
        <v>505021</v>
      </c>
      <c r="G117" t="s">
        <v>74</v>
      </c>
      <c r="H117">
        <v>111</v>
      </c>
      <c r="I117" t="s">
        <v>63</v>
      </c>
      <c r="J117">
        <v>5</v>
      </c>
      <c r="K117" t="str">
        <f>HYPERLINK("Gene455-zp_tree_all.dnd", "Gene455-tree")</f>
        <v>Gene455-tree</v>
      </c>
      <c r="L117">
        <v>4</v>
      </c>
      <c r="M117">
        <v>1</v>
      </c>
      <c r="N117">
        <v>3</v>
      </c>
      <c r="O117">
        <v>1</v>
      </c>
      <c r="P117">
        <v>0.25</v>
      </c>
      <c r="Q117" t="s">
        <v>112</v>
      </c>
      <c r="R117" t="s">
        <v>65</v>
      </c>
      <c r="S117" t="s">
        <v>66</v>
      </c>
      <c r="T117" t="s">
        <v>66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2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4</v>
      </c>
      <c r="AJ117">
        <v>1</v>
      </c>
      <c r="AK117">
        <v>9</v>
      </c>
      <c r="AL117">
        <v>1</v>
      </c>
      <c r="AM117">
        <v>7</v>
      </c>
      <c r="AN117">
        <v>1</v>
      </c>
      <c r="AO117" t="s">
        <v>709</v>
      </c>
      <c r="AP117" t="s">
        <v>710</v>
      </c>
      <c r="AQ117">
        <v>0.14699999999999999</v>
      </c>
      <c r="AR117" t="s">
        <v>69</v>
      </c>
      <c r="AS117">
        <v>16</v>
      </c>
      <c r="AT117">
        <v>2</v>
      </c>
      <c r="AU117">
        <v>3.0030000000000001E-2</v>
      </c>
      <c r="AV117">
        <v>-4.7000000000000002E-3</v>
      </c>
      <c r="AW117">
        <v>0.11994</v>
      </c>
      <c r="AX117">
        <v>-1.8759999999999999E-2</v>
      </c>
      <c r="AY117">
        <v>4.64E-3</v>
      </c>
      <c r="AZ117">
        <v>-8.0999999999999996E-4</v>
      </c>
      <c r="BA117">
        <v>3.8699999999999998E-2</v>
      </c>
      <c r="BB117">
        <v>1</v>
      </c>
      <c r="BC117" t="s">
        <v>70</v>
      </c>
      <c r="BD117">
        <v>0.66600000000000004</v>
      </c>
      <c r="BE117">
        <v>0.216</v>
      </c>
      <c r="BF117" t="s">
        <v>71</v>
      </c>
      <c r="BG117">
        <v>8.9655172413793102E-2</v>
      </c>
      <c r="BI117">
        <v>18</v>
      </c>
      <c r="BJ117">
        <v>3.8699999999999998E-2</v>
      </c>
      <c r="BK117">
        <v>8.9655172413793102E-2</v>
      </c>
    </row>
    <row r="118" spans="1:63">
      <c r="A118">
        <v>460</v>
      </c>
      <c r="B118" t="s">
        <v>718</v>
      </c>
      <c r="D118" t="s">
        <v>60</v>
      </c>
      <c r="E118">
        <v>508248</v>
      </c>
      <c r="F118">
        <v>509309</v>
      </c>
      <c r="G118" t="s">
        <v>720</v>
      </c>
      <c r="H118">
        <v>354</v>
      </c>
      <c r="I118" t="s">
        <v>63</v>
      </c>
      <c r="J118">
        <v>5</v>
      </c>
      <c r="K118" t="str">
        <f>HYPERLINK("Gene460-zp_tree_all.dnd", "Gene460-tree")</f>
        <v>Gene460-tree</v>
      </c>
      <c r="L118">
        <v>2</v>
      </c>
      <c r="M118">
        <v>3</v>
      </c>
      <c r="N118">
        <v>2</v>
      </c>
      <c r="O118">
        <v>3</v>
      </c>
      <c r="P118">
        <v>0.6</v>
      </c>
      <c r="Q118" t="s">
        <v>124</v>
      </c>
      <c r="R118" t="s">
        <v>86</v>
      </c>
      <c r="S118" t="s">
        <v>66</v>
      </c>
      <c r="T118" t="s">
        <v>66</v>
      </c>
      <c r="U118">
        <v>0</v>
      </c>
      <c r="V118">
        <v>0</v>
      </c>
      <c r="W118">
        <v>8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8</v>
      </c>
      <c r="AH118">
        <v>0</v>
      </c>
      <c r="AI118">
        <v>5</v>
      </c>
      <c r="AJ118">
        <v>2</v>
      </c>
      <c r="AK118">
        <v>40</v>
      </c>
      <c r="AL118">
        <v>7</v>
      </c>
      <c r="AM118">
        <v>22</v>
      </c>
      <c r="AN118">
        <v>2</v>
      </c>
      <c r="AO118" t="s">
        <v>721</v>
      </c>
      <c r="AP118" t="s">
        <v>722</v>
      </c>
      <c r="AQ118">
        <v>0.505</v>
      </c>
      <c r="AR118" t="s">
        <v>69</v>
      </c>
      <c r="AS118">
        <v>62</v>
      </c>
      <c r="AT118">
        <v>9</v>
      </c>
      <c r="AU118">
        <v>2.9929999999999998E-2</v>
      </c>
      <c r="AV118">
        <v>-4.0299999999999997E-3</v>
      </c>
      <c r="AW118">
        <v>0.12626000000000001</v>
      </c>
      <c r="AX118">
        <v>-1.753E-2</v>
      </c>
      <c r="AY118">
        <v>5.0400000000000002E-3</v>
      </c>
      <c r="AZ118">
        <v>-9.1E-4</v>
      </c>
      <c r="BA118">
        <v>3.9879999999999999E-2</v>
      </c>
      <c r="BB118">
        <v>1</v>
      </c>
      <c r="BC118" t="s">
        <v>70</v>
      </c>
      <c r="BD118">
        <v>5.0000000000000001E-3</v>
      </c>
      <c r="BE118">
        <v>-0.115</v>
      </c>
      <c r="BF118" t="s">
        <v>71</v>
      </c>
      <c r="BG118">
        <v>8.6172344689378705E-2</v>
      </c>
      <c r="BI118">
        <v>71</v>
      </c>
      <c r="BJ118">
        <v>3.9879999999999999E-2</v>
      </c>
      <c r="BK118">
        <v>8.6172344689378705E-2</v>
      </c>
    </row>
    <row r="119" spans="1:63">
      <c r="A119">
        <v>462</v>
      </c>
      <c r="B119" t="s">
        <v>723</v>
      </c>
      <c r="D119" t="s">
        <v>60</v>
      </c>
      <c r="E119">
        <v>511106</v>
      </c>
      <c r="F119">
        <v>512638</v>
      </c>
      <c r="G119" t="s">
        <v>725</v>
      </c>
      <c r="H119">
        <v>511</v>
      </c>
      <c r="I119" t="s">
        <v>63</v>
      </c>
      <c r="J119">
        <v>5</v>
      </c>
      <c r="K119" t="str">
        <f>HYPERLINK("Gene462-zp_tree_all.dnd", "Gene462-tree")</f>
        <v>Gene462-tree</v>
      </c>
      <c r="L119">
        <v>3</v>
      </c>
      <c r="M119">
        <v>2</v>
      </c>
      <c r="N119">
        <v>2</v>
      </c>
      <c r="O119">
        <v>2</v>
      </c>
      <c r="P119">
        <v>0.5</v>
      </c>
      <c r="Q119" t="s">
        <v>185</v>
      </c>
      <c r="R119" t="s">
        <v>124</v>
      </c>
      <c r="S119" t="s">
        <v>66</v>
      </c>
      <c r="T119" t="s">
        <v>66</v>
      </c>
      <c r="U119">
        <v>0</v>
      </c>
      <c r="V119">
        <v>0</v>
      </c>
      <c r="W119">
        <v>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6</v>
      </c>
      <c r="AH119">
        <v>0</v>
      </c>
      <c r="AI119">
        <v>4</v>
      </c>
      <c r="AJ119">
        <v>1</v>
      </c>
      <c r="AK119">
        <v>62</v>
      </c>
      <c r="AL119">
        <v>4</v>
      </c>
      <c r="AM119">
        <v>22</v>
      </c>
      <c r="AN119">
        <v>2</v>
      </c>
      <c r="AO119" t="s">
        <v>726</v>
      </c>
      <c r="AP119" t="s">
        <v>727</v>
      </c>
      <c r="AQ119">
        <v>0.36399999999999999</v>
      </c>
      <c r="AR119" t="s">
        <v>69</v>
      </c>
      <c r="AS119">
        <v>84</v>
      </c>
      <c r="AT119">
        <v>6</v>
      </c>
      <c r="AU119">
        <v>3.022E-2</v>
      </c>
      <c r="AV119">
        <v>-4.9899999999999996E-3</v>
      </c>
      <c r="AW119">
        <v>0.13320000000000001</v>
      </c>
      <c r="AX119">
        <v>-2.401E-2</v>
      </c>
      <c r="AY119">
        <v>2.8400000000000001E-3</v>
      </c>
      <c r="AZ119">
        <v>-5.9000000000000003E-4</v>
      </c>
      <c r="BA119">
        <v>2.1350000000000001E-2</v>
      </c>
      <c r="BB119">
        <v>1</v>
      </c>
      <c r="BC119" t="s">
        <v>70</v>
      </c>
      <c r="BD119">
        <v>-1.2E-2</v>
      </c>
      <c r="BE119">
        <v>-0.30099999999999999</v>
      </c>
      <c r="BF119" t="s">
        <v>71</v>
      </c>
      <c r="BG119">
        <v>8.5959885386819399E-3</v>
      </c>
      <c r="BI119">
        <v>90</v>
      </c>
      <c r="BJ119">
        <v>2.1350000000000001E-2</v>
      </c>
      <c r="BK119">
        <v>8.5959885386819399E-3</v>
      </c>
    </row>
    <row r="120" spans="1:63">
      <c r="A120">
        <v>474</v>
      </c>
      <c r="B120" t="s">
        <v>737</v>
      </c>
      <c r="D120" t="s">
        <v>60</v>
      </c>
      <c r="E120">
        <v>521019</v>
      </c>
      <c r="F120">
        <v>522023</v>
      </c>
      <c r="G120" t="s">
        <v>739</v>
      </c>
      <c r="H120">
        <v>335</v>
      </c>
      <c r="I120" t="s">
        <v>63</v>
      </c>
      <c r="J120">
        <v>5</v>
      </c>
      <c r="K120" t="str">
        <f>HYPERLINK("Gene474-zp_tree_all.dnd", "Gene474-tree")</f>
        <v>Gene474-tree</v>
      </c>
      <c r="L120">
        <v>3</v>
      </c>
      <c r="M120">
        <v>2</v>
      </c>
      <c r="N120">
        <v>3</v>
      </c>
      <c r="O120">
        <v>2</v>
      </c>
      <c r="P120">
        <v>0.4</v>
      </c>
      <c r="Q120" t="s">
        <v>86</v>
      </c>
      <c r="R120" t="s">
        <v>124</v>
      </c>
      <c r="S120" t="s">
        <v>66</v>
      </c>
      <c r="T120" t="s">
        <v>66</v>
      </c>
      <c r="U120">
        <v>0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2</v>
      </c>
      <c r="AC120">
        <v>0</v>
      </c>
      <c r="AD120">
        <v>0</v>
      </c>
      <c r="AE120">
        <v>0</v>
      </c>
      <c r="AF120">
        <v>0</v>
      </c>
      <c r="AG120">
        <v>4</v>
      </c>
      <c r="AH120">
        <v>0</v>
      </c>
      <c r="AI120">
        <v>4</v>
      </c>
      <c r="AJ120">
        <v>2</v>
      </c>
      <c r="AK120">
        <v>30</v>
      </c>
      <c r="AL120">
        <v>2</v>
      </c>
      <c r="AM120">
        <v>35</v>
      </c>
      <c r="AN120">
        <v>3</v>
      </c>
      <c r="AO120" t="s">
        <v>740</v>
      </c>
      <c r="AP120" t="s">
        <v>741</v>
      </c>
      <c r="AQ120">
        <v>0.34899999999999998</v>
      </c>
      <c r="AR120" t="s">
        <v>69</v>
      </c>
      <c r="AS120">
        <v>65</v>
      </c>
      <c r="AT120">
        <v>5</v>
      </c>
      <c r="AU120">
        <v>3.3529999999999997E-2</v>
      </c>
      <c r="AV120">
        <v>-4.8900000000000002E-3</v>
      </c>
      <c r="AW120">
        <v>0.16428999999999999</v>
      </c>
      <c r="AX120">
        <v>-2.4799999999999999E-2</v>
      </c>
      <c r="AY120">
        <v>3.3E-3</v>
      </c>
      <c r="AZ120">
        <v>-5.6999999999999998E-4</v>
      </c>
      <c r="BA120">
        <v>2.0109999999999999E-2</v>
      </c>
      <c r="BB120">
        <v>1</v>
      </c>
      <c r="BC120" t="s">
        <v>70</v>
      </c>
      <c r="BD120">
        <v>0.60699999999999998</v>
      </c>
      <c r="BE120">
        <v>0.29099999999999998</v>
      </c>
      <c r="BF120" t="s">
        <v>71</v>
      </c>
      <c r="BG120">
        <v>5.3613053613053602E-2</v>
      </c>
      <c r="BI120">
        <v>70</v>
      </c>
      <c r="BJ120">
        <v>2.0109999999999999E-2</v>
      </c>
      <c r="BK120">
        <v>5.3613053613053602E-2</v>
      </c>
    </row>
    <row r="121" spans="1:63">
      <c r="A121">
        <v>477</v>
      </c>
      <c r="B121" t="s">
        <v>748</v>
      </c>
      <c r="D121" t="s">
        <v>60</v>
      </c>
      <c r="E121">
        <v>522862</v>
      </c>
      <c r="F121">
        <v>523647</v>
      </c>
      <c r="G121" t="s">
        <v>750</v>
      </c>
      <c r="H121">
        <v>262</v>
      </c>
      <c r="I121" t="s">
        <v>85</v>
      </c>
      <c r="J121">
        <v>4</v>
      </c>
      <c r="K121" t="str">
        <f>HYPERLINK("Gene477-zp_tree_all.dnd", "Gene477-tree")</f>
        <v>Gene477-tree</v>
      </c>
      <c r="L121">
        <v>3</v>
      </c>
      <c r="M121">
        <v>1</v>
      </c>
      <c r="N121">
        <v>3</v>
      </c>
      <c r="O121">
        <v>1</v>
      </c>
      <c r="P121">
        <v>0.25</v>
      </c>
      <c r="Q121" t="s">
        <v>86</v>
      </c>
      <c r="R121" t="s">
        <v>65</v>
      </c>
      <c r="S121" t="s">
        <v>66</v>
      </c>
      <c r="T121" t="s">
        <v>66</v>
      </c>
      <c r="U121">
        <v>0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</v>
      </c>
      <c r="AH121">
        <v>0</v>
      </c>
      <c r="AI121">
        <v>4</v>
      </c>
      <c r="AJ121">
        <v>1</v>
      </c>
      <c r="AK121">
        <v>29</v>
      </c>
      <c r="AL121">
        <v>4</v>
      </c>
      <c r="AM121">
        <v>6</v>
      </c>
      <c r="AN121">
        <v>0</v>
      </c>
      <c r="AO121" t="s">
        <v>751</v>
      </c>
      <c r="AP121" t="s">
        <v>68</v>
      </c>
      <c r="AQ121">
        <v>0.39400000000000002</v>
      </c>
      <c r="AR121" t="s">
        <v>69</v>
      </c>
      <c r="AS121">
        <v>35</v>
      </c>
      <c r="AT121">
        <v>4</v>
      </c>
      <c r="AU121">
        <v>2.6079999999999999E-2</v>
      </c>
      <c r="AV121">
        <v>-7.3400000000000002E-3</v>
      </c>
      <c r="AW121">
        <v>0.11916</v>
      </c>
      <c r="AX121">
        <v>-3.3360000000000001E-2</v>
      </c>
      <c r="AY121">
        <v>3.2799999999999999E-3</v>
      </c>
      <c r="AZ121">
        <v>-1.34E-3</v>
      </c>
      <c r="BA121">
        <v>2.7539999999999999E-2</v>
      </c>
      <c r="BB121">
        <v>1</v>
      </c>
      <c r="BC121" t="s">
        <v>70</v>
      </c>
      <c r="BD121">
        <v>-0.377</v>
      </c>
      <c r="BE121">
        <v>-0.377</v>
      </c>
      <c r="BF121" t="s">
        <v>71</v>
      </c>
      <c r="BG121">
        <v>5.0279329608938501E-2</v>
      </c>
      <c r="BI121">
        <v>39</v>
      </c>
      <c r="BJ121">
        <v>2.7539999999999999E-2</v>
      </c>
      <c r="BK121">
        <v>5.0279329608938501E-2</v>
      </c>
    </row>
    <row r="122" spans="1:63">
      <c r="A122">
        <v>478</v>
      </c>
      <c r="B122" t="s">
        <v>752</v>
      </c>
      <c r="D122" t="s">
        <v>60</v>
      </c>
      <c r="E122">
        <v>523650</v>
      </c>
      <c r="F122">
        <v>524246</v>
      </c>
      <c r="G122" t="s">
        <v>754</v>
      </c>
      <c r="H122">
        <v>199</v>
      </c>
      <c r="I122" t="s">
        <v>106</v>
      </c>
      <c r="J122">
        <v>4</v>
      </c>
      <c r="K122" t="str">
        <f>HYPERLINK("Gene478-zp_tree_all.dnd", "Gene478-tree")</f>
        <v>Gene478-tree</v>
      </c>
      <c r="L122">
        <v>2</v>
      </c>
      <c r="M122">
        <v>2</v>
      </c>
      <c r="N122">
        <v>2</v>
      </c>
      <c r="O122">
        <v>2</v>
      </c>
      <c r="P122">
        <v>0.5</v>
      </c>
      <c r="Q122" t="s">
        <v>124</v>
      </c>
      <c r="R122" t="s">
        <v>124</v>
      </c>
      <c r="S122" t="s">
        <v>66</v>
      </c>
      <c r="T122" t="s">
        <v>66</v>
      </c>
      <c r="U122">
        <v>0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</v>
      </c>
      <c r="AH122">
        <v>0</v>
      </c>
      <c r="AI122">
        <v>3</v>
      </c>
      <c r="AJ122">
        <v>1</v>
      </c>
      <c r="AK122">
        <v>20</v>
      </c>
      <c r="AL122">
        <v>3</v>
      </c>
      <c r="AM122">
        <v>2</v>
      </c>
      <c r="AN122">
        <v>1</v>
      </c>
      <c r="AO122" t="s">
        <v>755</v>
      </c>
      <c r="AP122" t="s">
        <v>756</v>
      </c>
      <c r="AQ122">
        <v>2.09</v>
      </c>
      <c r="AR122" t="s">
        <v>69</v>
      </c>
      <c r="AS122">
        <v>22</v>
      </c>
      <c r="AT122">
        <v>4</v>
      </c>
      <c r="AU122">
        <v>2.2610000000000002E-2</v>
      </c>
      <c r="AV122">
        <v>-6.5900000000000004E-3</v>
      </c>
      <c r="AW122">
        <v>9.2270000000000005E-2</v>
      </c>
      <c r="AX122">
        <v>-2.9700000000000001E-2</v>
      </c>
      <c r="AY122">
        <v>4.7099999999999998E-3</v>
      </c>
      <c r="AZ122">
        <v>-9.5E-4</v>
      </c>
      <c r="BA122">
        <v>5.1069999999999997E-2</v>
      </c>
      <c r="BB122">
        <v>1</v>
      </c>
      <c r="BC122" t="s">
        <v>70</v>
      </c>
      <c r="BD122">
        <v>-0.496</v>
      </c>
      <c r="BE122">
        <v>-0.496</v>
      </c>
      <c r="BF122" t="s">
        <v>71</v>
      </c>
      <c r="BG122">
        <v>4.3824701195219098E-2</v>
      </c>
      <c r="BI122">
        <v>26</v>
      </c>
      <c r="BJ122">
        <v>5.1069999999999997E-2</v>
      </c>
      <c r="BK122">
        <v>4.3824701195219098E-2</v>
      </c>
    </row>
    <row r="123" spans="1:63">
      <c r="A123">
        <v>483</v>
      </c>
      <c r="B123" t="s">
        <v>757</v>
      </c>
      <c r="D123" t="s">
        <v>60</v>
      </c>
      <c r="E123">
        <v>528129</v>
      </c>
      <c r="F123">
        <v>528578</v>
      </c>
      <c r="G123" t="s">
        <v>759</v>
      </c>
      <c r="H123">
        <v>150</v>
      </c>
      <c r="I123" t="s">
        <v>106</v>
      </c>
      <c r="J123">
        <v>4</v>
      </c>
      <c r="K123" t="str">
        <f>HYPERLINK("Gene483-zp_tree_all.dnd", "Gene483-tree")</f>
        <v>Gene483-tree</v>
      </c>
      <c r="L123">
        <v>0</v>
      </c>
      <c r="M123">
        <v>4</v>
      </c>
      <c r="N123">
        <v>0</v>
      </c>
      <c r="O123">
        <v>4</v>
      </c>
      <c r="P123">
        <v>1</v>
      </c>
      <c r="Q123" t="s">
        <v>66</v>
      </c>
      <c r="R123" t="s">
        <v>64</v>
      </c>
      <c r="S123" t="s">
        <v>66</v>
      </c>
      <c r="T123" t="s">
        <v>66</v>
      </c>
      <c r="U123">
        <v>0</v>
      </c>
      <c r="V123">
        <v>0</v>
      </c>
      <c r="W123">
        <v>6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6</v>
      </c>
      <c r="AH123">
        <v>0</v>
      </c>
      <c r="AI123">
        <v>4</v>
      </c>
      <c r="AJ123">
        <v>1</v>
      </c>
      <c r="AK123">
        <v>17</v>
      </c>
      <c r="AL123">
        <v>6</v>
      </c>
      <c r="AM123">
        <v>6</v>
      </c>
      <c r="AN123">
        <v>0</v>
      </c>
      <c r="AO123" t="s">
        <v>760</v>
      </c>
      <c r="AP123" t="s">
        <v>68</v>
      </c>
      <c r="AQ123">
        <v>3.2040000000000002</v>
      </c>
      <c r="AR123" t="s">
        <v>239</v>
      </c>
      <c r="AS123">
        <v>23</v>
      </c>
      <c r="AT123">
        <v>6</v>
      </c>
      <c r="AU123">
        <v>3.3329999999999999E-2</v>
      </c>
      <c r="AV123">
        <v>-4.1900000000000001E-3</v>
      </c>
      <c r="AW123">
        <v>0.14102000000000001</v>
      </c>
      <c r="AX123">
        <v>-2.1610000000000001E-2</v>
      </c>
      <c r="AY123">
        <v>8.4899999999999993E-3</v>
      </c>
      <c r="AZ123">
        <v>-6.7000000000000002E-4</v>
      </c>
      <c r="BA123">
        <v>6.019E-2</v>
      </c>
      <c r="BB123">
        <v>1</v>
      </c>
      <c r="BC123" t="s">
        <v>70</v>
      </c>
      <c r="BD123">
        <v>0.191</v>
      </c>
      <c r="BE123">
        <v>-0.159</v>
      </c>
      <c r="BF123" t="s">
        <v>71</v>
      </c>
      <c r="BG123">
        <v>2.1052631578947299E-2</v>
      </c>
      <c r="BI123">
        <v>29</v>
      </c>
      <c r="BJ123">
        <v>6.019E-2</v>
      </c>
      <c r="BK123">
        <v>2.1052631578947299E-2</v>
      </c>
    </row>
    <row r="124" spans="1:63">
      <c r="A124">
        <v>519</v>
      </c>
      <c r="B124" t="s">
        <v>761</v>
      </c>
      <c r="D124" t="s">
        <v>60</v>
      </c>
      <c r="E124">
        <v>559264</v>
      </c>
      <c r="F124">
        <v>559461</v>
      </c>
      <c r="G124" t="s">
        <v>763</v>
      </c>
      <c r="H124">
        <v>66</v>
      </c>
      <c r="I124" t="s">
        <v>63</v>
      </c>
      <c r="J124">
        <v>5</v>
      </c>
      <c r="K124" t="str">
        <f>HYPERLINK("Gene519-zp_tree_all.dnd", "Gene519-tree")</f>
        <v>Gene519-tree</v>
      </c>
      <c r="L124">
        <v>4</v>
      </c>
      <c r="M124">
        <v>1</v>
      </c>
      <c r="N124">
        <v>3</v>
      </c>
      <c r="O124">
        <v>1</v>
      </c>
      <c r="P124">
        <v>0.25</v>
      </c>
      <c r="Q124" t="s">
        <v>112</v>
      </c>
      <c r="R124" t="s">
        <v>65</v>
      </c>
      <c r="S124" t="s">
        <v>66</v>
      </c>
      <c r="T124" t="s">
        <v>66</v>
      </c>
      <c r="U124">
        <v>0</v>
      </c>
      <c r="V124">
        <v>0</v>
      </c>
      <c r="W124">
        <v>3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2</v>
      </c>
      <c r="AH124">
        <v>0</v>
      </c>
      <c r="AI124">
        <v>3</v>
      </c>
      <c r="AJ124">
        <v>1</v>
      </c>
      <c r="AK124">
        <v>4</v>
      </c>
      <c r="AL124">
        <v>2</v>
      </c>
      <c r="AM124">
        <v>3</v>
      </c>
      <c r="AN124">
        <v>1</v>
      </c>
      <c r="AO124" t="s">
        <v>764</v>
      </c>
      <c r="AP124" t="s">
        <v>765</v>
      </c>
      <c r="AQ124">
        <v>0.28699999999999998</v>
      </c>
      <c r="AR124" t="s">
        <v>69</v>
      </c>
      <c r="AS124">
        <v>7</v>
      </c>
      <c r="AT124">
        <v>3</v>
      </c>
      <c r="AU124">
        <v>2.862E-2</v>
      </c>
      <c r="AV124">
        <v>-4.7099999999999998E-3</v>
      </c>
      <c r="AW124">
        <v>0.10731</v>
      </c>
      <c r="AX124">
        <v>-1.8610000000000002E-2</v>
      </c>
      <c r="AY124">
        <v>1.069E-2</v>
      </c>
      <c r="AZ124">
        <v>-2.3E-3</v>
      </c>
      <c r="BA124">
        <v>9.9629999999999996E-2</v>
      </c>
      <c r="BB124">
        <v>0.98899999999999999</v>
      </c>
      <c r="BC124" t="s">
        <v>70</v>
      </c>
      <c r="BD124">
        <v>0</v>
      </c>
      <c r="BE124">
        <v>0</v>
      </c>
      <c r="BF124" t="s">
        <v>71</v>
      </c>
      <c r="BG124">
        <v>0.2</v>
      </c>
      <c r="BI124">
        <v>10</v>
      </c>
      <c r="BJ124">
        <v>9.9629999999999996E-2</v>
      </c>
      <c r="BK124">
        <v>0.2</v>
      </c>
    </row>
    <row r="125" spans="1:63">
      <c r="A125">
        <v>596</v>
      </c>
      <c r="B125" t="s">
        <v>795</v>
      </c>
      <c r="D125" t="s">
        <v>60</v>
      </c>
      <c r="E125">
        <v>630170</v>
      </c>
      <c r="F125">
        <v>630880</v>
      </c>
      <c r="G125" t="s">
        <v>546</v>
      </c>
      <c r="H125">
        <v>237</v>
      </c>
      <c r="I125" t="s">
        <v>106</v>
      </c>
      <c r="J125">
        <v>4</v>
      </c>
      <c r="K125" t="str">
        <f>HYPERLINK("Gene596-zp_tree_all.dnd", "Gene596-tree")</f>
        <v>Gene596-tree</v>
      </c>
      <c r="L125">
        <v>0</v>
      </c>
      <c r="M125">
        <v>4</v>
      </c>
      <c r="N125">
        <v>0</v>
      </c>
      <c r="O125">
        <v>4</v>
      </c>
      <c r="P125">
        <v>1</v>
      </c>
      <c r="Q125" t="s">
        <v>66</v>
      </c>
      <c r="R125" t="s">
        <v>64</v>
      </c>
      <c r="S125" t="s">
        <v>66</v>
      </c>
      <c r="T125" t="s">
        <v>66</v>
      </c>
      <c r="U125">
        <v>0</v>
      </c>
      <c r="V125">
        <v>0</v>
      </c>
      <c r="W125">
        <v>7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7</v>
      </c>
      <c r="AH125">
        <v>0</v>
      </c>
      <c r="AI125">
        <v>3</v>
      </c>
      <c r="AJ125">
        <v>1</v>
      </c>
      <c r="AK125">
        <v>29</v>
      </c>
      <c r="AL125">
        <v>6</v>
      </c>
      <c r="AM125">
        <v>5</v>
      </c>
      <c r="AN125">
        <v>1</v>
      </c>
      <c r="AO125" t="s">
        <v>797</v>
      </c>
      <c r="AP125" t="s">
        <v>798</v>
      </c>
      <c r="AQ125">
        <v>1.0999999999999999E-2</v>
      </c>
      <c r="AR125" t="s">
        <v>69</v>
      </c>
      <c r="AS125">
        <v>34</v>
      </c>
      <c r="AT125">
        <v>7</v>
      </c>
      <c r="AU125">
        <v>3.024E-2</v>
      </c>
      <c r="AV125">
        <v>-5.1700000000000001E-3</v>
      </c>
      <c r="AW125">
        <v>0.12564</v>
      </c>
      <c r="AX125">
        <v>-2.436E-2</v>
      </c>
      <c r="AY125">
        <v>6.6499999999999997E-3</v>
      </c>
      <c r="AZ125">
        <v>-1.0200000000000001E-3</v>
      </c>
      <c r="BA125">
        <v>5.2940000000000001E-2</v>
      </c>
      <c r="BB125">
        <v>1</v>
      </c>
      <c r="BC125" t="s">
        <v>70</v>
      </c>
      <c r="BD125">
        <v>-0.40100000000000002</v>
      </c>
      <c r="BE125">
        <v>-0.40100000000000002</v>
      </c>
      <c r="BF125" t="s">
        <v>71</v>
      </c>
      <c r="BG125">
        <v>3.4722222222222203E-2</v>
      </c>
      <c r="BI125">
        <v>41</v>
      </c>
      <c r="BJ125">
        <v>5.2940000000000001E-2</v>
      </c>
      <c r="BK125">
        <v>3.4722222222222203E-2</v>
      </c>
    </row>
    <row r="126" spans="1:63">
      <c r="A126">
        <v>603</v>
      </c>
      <c r="B126" t="s">
        <v>799</v>
      </c>
      <c r="D126" t="s">
        <v>60</v>
      </c>
      <c r="E126">
        <v>642810</v>
      </c>
      <c r="F126">
        <v>643262</v>
      </c>
      <c r="G126" t="s">
        <v>801</v>
      </c>
      <c r="H126">
        <v>151</v>
      </c>
      <c r="I126" t="s">
        <v>63</v>
      </c>
      <c r="J126">
        <v>5</v>
      </c>
      <c r="K126" t="str">
        <f>HYPERLINK("Gene603-zp_tree_all.dnd", "Gene603-tree")</f>
        <v>Gene603-tree</v>
      </c>
      <c r="L126">
        <v>2</v>
      </c>
      <c r="M126">
        <v>3</v>
      </c>
      <c r="N126">
        <v>2</v>
      </c>
      <c r="O126">
        <v>3</v>
      </c>
      <c r="P126">
        <v>0.6</v>
      </c>
      <c r="Q126" t="s">
        <v>124</v>
      </c>
      <c r="R126" t="s">
        <v>86</v>
      </c>
      <c r="S126" t="s">
        <v>66</v>
      </c>
      <c r="T126" t="s">
        <v>66</v>
      </c>
      <c r="U126">
        <v>0</v>
      </c>
      <c r="V126">
        <v>0</v>
      </c>
      <c r="W126">
        <v>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6</v>
      </c>
      <c r="AH126">
        <v>0</v>
      </c>
      <c r="AI126">
        <v>3</v>
      </c>
      <c r="AJ126">
        <v>2</v>
      </c>
      <c r="AK126">
        <v>13</v>
      </c>
      <c r="AL126">
        <v>3</v>
      </c>
      <c r="AM126">
        <v>8</v>
      </c>
      <c r="AN126">
        <v>3</v>
      </c>
      <c r="AO126" t="s">
        <v>802</v>
      </c>
      <c r="AP126" t="s">
        <v>803</v>
      </c>
      <c r="AQ126">
        <v>0.433</v>
      </c>
      <c r="AR126" t="s">
        <v>69</v>
      </c>
      <c r="AS126">
        <v>21</v>
      </c>
      <c r="AT126">
        <v>6</v>
      </c>
      <c r="AU126">
        <v>2.7369999999999998E-2</v>
      </c>
      <c r="AV126">
        <v>-5.11E-3</v>
      </c>
      <c r="AW126">
        <v>0.10133</v>
      </c>
      <c r="AX126">
        <v>-1.9730000000000001E-2</v>
      </c>
      <c r="AY126">
        <v>8.6E-3</v>
      </c>
      <c r="AZ126">
        <v>-1.5200000000000001E-3</v>
      </c>
      <c r="BA126">
        <v>8.4909999999999999E-2</v>
      </c>
      <c r="BB126">
        <v>1</v>
      </c>
      <c r="BC126" t="s">
        <v>70</v>
      </c>
      <c r="BD126">
        <v>0.248</v>
      </c>
      <c r="BE126">
        <v>-0.372</v>
      </c>
      <c r="BF126" t="s">
        <v>71</v>
      </c>
      <c r="BG126">
        <v>0.19</v>
      </c>
      <c r="BI126">
        <v>27</v>
      </c>
      <c r="BJ126">
        <v>8.4909999999999999E-2</v>
      </c>
      <c r="BK126">
        <v>0.19</v>
      </c>
    </row>
    <row r="127" spans="1:63">
      <c r="A127">
        <v>606</v>
      </c>
      <c r="B127" t="s">
        <v>804</v>
      </c>
      <c r="D127" t="s">
        <v>60</v>
      </c>
      <c r="E127">
        <v>646582</v>
      </c>
      <c r="F127">
        <v>647091</v>
      </c>
      <c r="G127" t="s">
        <v>806</v>
      </c>
      <c r="H127">
        <v>170</v>
      </c>
      <c r="I127" t="s">
        <v>63</v>
      </c>
      <c r="J127">
        <v>5</v>
      </c>
      <c r="K127" t="str">
        <f>HYPERLINK("Gene606-zp_tree_all.dnd", "Gene606-tree")</f>
        <v>Gene606-tree</v>
      </c>
      <c r="L127">
        <v>3</v>
      </c>
      <c r="M127">
        <v>2</v>
      </c>
      <c r="N127">
        <v>3</v>
      </c>
      <c r="O127">
        <v>2</v>
      </c>
      <c r="P127">
        <v>0.4</v>
      </c>
      <c r="Q127" t="s">
        <v>86</v>
      </c>
      <c r="R127" t="s">
        <v>124</v>
      </c>
      <c r="S127" t="s">
        <v>66</v>
      </c>
      <c r="T127" t="s">
        <v>66</v>
      </c>
      <c r="U127">
        <v>0</v>
      </c>
      <c r="V127">
        <v>0</v>
      </c>
      <c r="W127">
        <v>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3</v>
      </c>
      <c r="AH127">
        <v>0</v>
      </c>
      <c r="AI127">
        <v>5</v>
      </c>
      <c r="AJ127">
        <v>2</v>
      </c>
      <c r="AK127">
        <v>23</v>
      </c>
      <c r="AL127">
        <v>3</v>
      </c>
      <c r="AM127">
        <v>4</v>
      </c>
      <c r="AN127">
        <v>0</v>
      </c>
      <c r="AO127" t="s">
        <v>807</v>
      </c>
      <c r="AP127" t="s">
        <v>68</v>
      </c>
      <c r="AQ127">
        <v>1.0620000000000001</v>
      </c>
      <c r="AR127" t="s">
        <v>69</v>
      </c>
      <c r="AS127">
        <v>27</v>
      </c>
      <c r="AT127">
        <v>3</v>
      </c>
      <c r="AU127">
        <v>2.392E-2</v>
      </c>
      <c r="AV127">
        <v>-2.49E-3</v>
      </c>
      <c r="AW127">
        <v>0.10639999999999999</v>
      </c>
      <c r="AX127">
        <v>-1.095E-2</v>
      </c>
      <c r="AY127">
        <v>3.0200000000000001E-3</v>
      </c>
      <c r="AZ127">
        <v>-7.7999999999999999E-4</v>
      </c>
      <c r="BA127">
        <v>2.8410000000000001E-2</v>
      </c>
      <c r="BB127">
        <v>1</v>
      </c>
      <c r="BC127" t="s">
        <v>70</v>
      </c>
      <c r="BD127">
        <v>-0.68899999999999995</v>
      </c>
      <c r="BE127">
        <v>-0.68899999999999995</v>
      </c>
      <c r="BF127" t="s">
        <v>71</v>
      </c>
      <c r="BG127">
        <v>0.182608695652173</v>
      </c>
      <c r="BI127">
        <v>30</v>
      </c>
      <c r="BJ127">
        <v>2.8410000000000001E-2</v>
      </c>
      <c r="BK127">
        <v>0.182608695652173</v>
      </c>
    </row>
    <row r="128" spans="1:63">
      <c r="A128">
        <v>607</v>
      </c>
      <c r="B128" t="s">
        <v>808</v>
      </c>
      <c r="D128" t="s">
        <v>60</v>
      </c>
      <c r="E128">
        <v>647091</v>
      </c>
      <c r="F128">
        <v>647735</v>
      </c>
      <c r="G128" t="s">
        <v>810</v>
      </c>
      <c r="H128">
        <v>215</v>
      </c>
      <c r="I128" t="s">
        <v>63</v>
      </c>
      <c r="J128">
        <v>5</v>
      </c>
      <c r="K128" t="str">
        <f>HYPERLINK("Gene607-zp_tree_all.dnd", "Gene607-tree")</f>
        <v>Gene607-tree</v>
      </c>
      <c r="L128">
        <v>5</v>
      </c>
      <c r="M128">
        <v>0</v>
      </c>
      <c r="N128">
        <v>5</v>
      </c>
      <c r="O128">
        <v>0</v>
      </c>
      <c r="P128">
        <v>0</v>
      </c>
      <c r="Q128" t="s">
        <v>96</v>
      </c>
      <c r="R128" t="s">
        <v>66</v>
      </c>
      <c r="S128" t="s">
        <v>66</v>
      </c>
      <c r="T128" t="s">
        <v>66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5</v>
      </c>
      <c r="AJ128">
        <v>2</v>
      </c>
      <c r="AK128">
        <v>14</v>
      </c>
      <c r="AL128">
        <v>0</v>
      </c>
      <c r="AM128">
        <v>11</v>
      </c>
      <c r="AN128">
        <v>1</v>
      </c>
      <c r="AO128" t="s">
        <v>68</v>
      </c>
      <c r="AP128" t="s">
        <v>811</v>
      </c>
      <c r="AQ128">
        <v>0.84199999999999997</v>
      </c>
      <c r="AR128" t="s">
        <v>69</v>
      </c>
      <c r="AS128">
        <v>25</v>
      </c>
      <c r="AT128">
        <v>1</v>
      </c>
      <c r="AU128">
        <v>1.984E-2</v>
      </c>
      <c r="AV128">
        <v>-3.3999999999999998E-3</v>
      </c>
      <c r="AW128">
        <v>8.6249999999999993E-2</v>
      </c>
      <c r="AX128">
        <v>-1.5100000000000001E-2</v>
      </c>
      <c r="AY128">
        <v>1.2199999999999999E-3</v>
      </c>
      <c r="AZ128">
        <v>-2.9E-4</v>
      </c>
      <c r="BA128">
        <v>1.414E-2</v>
      </c>
      <c r="BB128">
        <v>1</v>
      </c>
      <c r="BC128" t="s">
        <v>70</v>
      </c>
      <c r="BD128">
        <v>0.191</v>
      </c>
      <c r="BE128">
        <v>0.191</v>
      </c>
      <c r="BF128" t="s">
        <v>71</v>
      </c>
      <c r="BG128">
        <v>8.6142322097378196E-2</v>
      </c>
      <c r="BI128">
        <v>26</v>
      </c>
      <c r="BJ128">
        <v>1.414E-2</v>
      </c>
      <c r="BK128">
        <v>8.6142322097378196E-2</v>
      </c>
    </row>
    <row r="129" spans="1:63">
      <c r="A129">
        <v>608</v>
      </c>
      <c r="B129" t="s">
        <v>812</v>
      </c>
      <c r="D129" t="s">
        <v>60</v>
      </c>
      <c r="E129">
        <v>647760</v>
      </c>
      <c r="F129">
        <v>647930</v>
      </c>
      <c r="G129" t="s">
        <v>814</v>
      </c>
      <c r="H129">
        <v>57</v>
      </c>
      <c r="I129" t="s">
        <v>63</v>
      </c>
      <c r="J129">
        <v>5</v>
      </c>
      <c r="K129" t="str">
        <f>HYPERLINK("Gene608-zp_tree_all.dnd", "Gene608-tree")</f>
        <v>Gene608-tree</v>
      </c>
      <c r="L129">
        <v>5</v>
      </c>
      <c r="M129">
        <v>0</v>
      </c>
      <c r="N129">
        <v>5</v>
      </c>
      <c r="O129">
        <v>0</v>
      </c>
      <c r="P129">
        <v>0</v>
      </c>
      <c r="Q129" t="s">
        <v>96</v>
      </c>
      <c r="R129" t="s">
        <v>66</v>
      </c>
      <c r="S129" t="s">
        <v>66</v>
      </c>
      <c r="T129" t="s">
        <v>66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5</v>
      </c>
      <c r="AJ129">
        <v>2</v>
      </c>
      <c r="AK129">
        <v>6</v>
      </c>
      <c r="AL129">
        <v>0</v>
      </c>
      <c r="AM129">
        <v>6</v>
      </c>
      <c r="AN129">
        <v>1</v>
      </c>
      <c r="AO129" t="s">
        <v>68</v>
      </c>
      <c r="AP129" t="s">
        <v>815</v>
      </c>
      <c r="AQ129">
        <v>1.26</v>
      </c>
      <c r="AR129" t="s">
        <v>69</v>
      </c>
      <c r="AS129">
        <v>12</v>
      </c>
      <c r="AT129">
        <v>1</v>
      </c>
      <c r="AU129">
        <v>3.3329999999999999E-2</v>
      </c>
      <c r="AV129">
        <v>-5.0299999999999997E-3</v>
      </c>
      <c r="AW129">
        <v>0.14577999999999999</v>
      </c>
      <c r="AX129">
        <v>-2.1680000000000001E-2</v>
      </c>
      <c r="AY129">
        <v>4.5799999999999999E-3</v>
      </c>
      <c r="AZ129">
        <v>-1.09E-3</v>
      </c>
      <c r="BA129">
        <v>3.1399999999999997E-2</v>
      </c>
      <c r="BB129">
        <v>1</v>
      </c>
      <c r="BC129" t="s">
        <v>70</v>
      </c>
      <c r="BD129">
        <v>1.3420000000000001</v>
      </c>
      <c r="BE129">
        <v>0</v>
      </c>
      <c r="BF129" t="s">
        <v>71</v>
      </c>
      <c r="BG129">
        <v>0.157894736842105</v>
      </c>
      <c r="BI129">
        <v>13</v>
      </c>
      <c r="BJ129">
        <v>3.1399999999999997E-2</v>
      </c>
      <c r="BK129">
        <v>0.157894736842105</v>
      </c>
    </row>
    <row r="130" spans="1:63">
      <c r="A130">
        <v>613</v>
      </c>
      <c r="B130" t="s">
        <v>821</v>
      </c>
      <c r="D130" t="s">
        <v>60</v>
      </c>
      <c r="E130">
        <v>650234</v>
      </c>
      <c r="F130">
        <v>651865</v>
      </c>
      <c r="G130" t="s">
        <v>232</v>
      </c>
      <c r="H130">
        <v>544</v>
      </c>
      <c r="I130" t="s">
        <v>63</v>
      </c>
      <c r="J130">
        <v>5</v>
      </c>
      <c r="K130" t="str">
        <f>HYPERLINK("Gene613-zp_tree_all.dnd", "Gene613-tree")</f>
        <v>Gene613-tree</v>
      </c>
      <c r="L130">
        <v>4</v>
      </c>
      <c r="M130">
        <v>1</v>
      </c>
      <c r="N130">
        <v>4</v>
      </c>
      <c r="O130">
        <v>1</v>
      </c>
      <c r="P130">
        <v>0.2</v>
      </c>
      <c r="Q130" t="s">
        <v>64</v>
      </c>
      <c r="R130" t="s">
        <v>65</v>
      </c>
      <c r="S130" t="s">
        <v>66</v>
      </c>
      <c r="T130" t="s">
        <v>66</v>
      </c>
      <c r="U130">
        <v>0</v>
      </c>
      <c r="V130">
        <v>0</v>
      </c>
      <c r="W130">
        <v>3</v>
      </c>
      <c r="X130">
        <v>0</v>
      </c>
      <c r="Y130">
        <v>0</v>
      </c>
      <c r="Z130">
        <v>0</v>
      </c>
      <c r="AA130">
        <v>0</v>
      </c>
      <c r="AB130">
        <v>2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5</v>
      </c>
      <c r="AJ130">
        <v>2</v>
      </c>
      <c r="AK130">
        <v>51</v>
      </c>
      <c r="AL130">
        <v>1</v>
      </c>
      <c r="AM130">
        <v>11</v>
      </c>
      <c r="AN130">
        <v>2</v>
      </c>
      <c r="AO130" t="s">
        <v>823</v>
      </c>
      <c r="AP130" t="s">
        <v>824</v>
      </c>
      <c r="AQ130">
        <v>1.137</v>
      </c>
      <c r="AR130" t="s">
        <v>69</v>
      </c>
      <c r="AS130">
        <v>62</v>
      </c>
      <c r="AT130">
        <v>3</v>
      </c>
      <c r="AU130">
        <v>1.617E-2</v>
      </c>
      <c r="AV130">
        <v>-1.16E-3</v>
      </c>
      <c r="AW130">
        <v>6.5490000000000007E-2</v>
      </c>
      <c r="AX130">
        <v>-4.5900000000000003E-3</v>
      </c>
      <c r="AY130">
        <v>1.31E-3</v>
      </c>
      <c r="AZ130">
        <v>-2.3000000000000001E-4</v>
      </c>
      <c r="BA130">
        <v>2.001E-2</v>
      </c>
      <c r="BB130">
        <v>1</v>
      </c>
      <c r="BC130" t="s">
        <v>70</v>
      </c>
      <c r="BD130">
        <v>-0.13300000000000001</v>
      </c>
      <c r="BE130">
        <v>-0.28199999999999997</v>
      </c>
      <c r="BF130" t="s">
        <v>71</v>
      </c>
      <c r="BG130">
        <v>7.49354005167958E-2</v>
      </c>
      <c r="BI130">
        <v>65</v>
      </c>
      <c r="BJ130">
        <v>2.001E-2</v>
      </c>
      <c r="BK130">
        <v>7.49354005167958E-2</v>
      </c>
    </row>
    <row r="131" spans="1:63">
      <c r="A131">
        <v>634</v>
      </c>
      <c r="B131" t="s">
        <v>825</v>
      </c>
      <c r="D131" t="s">
        <v>60</v>
      </c>
      <c r="E131">
        <v>679390</v>
      </c>
      <c r="F131">
        <v>679758</v>
      </c>
      <c r="G131" t="s">
        <v>74</v>
      </c>
      <c r="H131">
        <v>123</v>
      </c>
      <c r="I131" t="s">
        <v>63</v>
      </c>
      <c r="J131">
        <v>5</v>
      </c>
      <c r="K131" t="str">
        <f>HYPERLINK("Gene634-zp_tree_all.dnd", "Gene634-tree")</f>
        <v>Gene634-tree</v>
      </c>
      <c r="L131">
        <v>5</v>
      </c>
      <c r="M131">
        <v>0</v>
      </c>
      <c r="N131">
        <v>5</v>
      </c>
      <c r="O131">
        <v>0</v>
      </c>
      <c r="P131">
        <v>0</v>
      </c>
      <c r="Q131" t="s">
        <v>96</v>
      </c>
      <c r="R131" t="s">
        <v>66</v>
      </c>
      <c r="S131" t="s">
        <v>66</v>
      </c>
      <c r="T131" t="s">
        <v>66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3</v>
      </c>
      <c r="AJ131">
        <v>2</v>
      </c>
      <c r="AK131">
        <v>5</v>
      </c>
      <c r="AL131">
        <v>0</v>
      </c>
      <c r="AM131">
        <v>9</v>
      </c>
      <c r="AN131">
        <v>1</v>
      </c>
      <c r="AO131" t="s">
        <v>68</v>
      </c>
      <c r="AP131" t="s">
        <v>827</v>
      </c>
      <c r="AQ131">
        <v>0.872</v>
      </c>
      <c r="AR131" t="s">
        <v>69</v>
      </c>
      <c r="AS131">
        <v>14</v>
      </c>
      <c r="AT131">
        <v>1</v>
      </c>
      <c r="AU131">
        <v>2.087E-2</v>
      </c>
      <c r="AV131">
        <v>-3.62E-3</v>
      </c>
      <c r="AW131">
        <v>9.0329999999999994E-2</v>
      </c>
      <c r="AX131">
        <v>-1.6910000000000001E-2</v>
      </c>
      <c r="AY131">
        <v>2.1199999999999999E-3</v>
      </c>
      <c r="AZ131">
        <v>-4.0999999999999999E-4</v>
      </c>
      <c r="BA131">
        <v>2.3449999999999999E-2</v>
      </c>
      <c r="BB131">
        <v>1</v>
      </c>
      <c r="BC131" t="s">
        <v>70</v>
      </c>
      <c r="BD131">
        <v>1.0629999999999999</v>
      </c>
      <c r="BE131">
        <v>0.52100000000000002</v>
      </c>
      <c r="BF131" t="s">
        <v>71</v>
      </c>
      <c r="BG131">
        <v>0.25675675675675602</v>
      </c>
      <c r="BI131">
        <v>15</v>
      </c>
      <c r="BJ131">
        <v>2.3449999999999999E-2</v>
      </c>
      <c r="BK131">
        <v>0.25675675675675602</v>
      </c>
    </row>
    <row r="132" spans="1:63">
      <c r="A132">
        <v>647</v>
      </c>
      <c r="B132" t="s">
        <v>828</v>
      </c>
      <c r="D132" t="s">
        <v>60</v>
      </c>
      <c r="E132">
        <v>692740</v>
      </c>
      <c r="F132">
        <v>694278</v>
      </c>
      <c r="G132" t="s">
        <v>830</v>
      </c>
      <c r="H132">
        <v>513</v>
      </c>
      <c r="I132" t="s">
        <v>63</v>
      </c>
      <c r="J132">
        <v>5</v>
      </c>
      <c r="K132" t="str">
        <f>HYPERLINK("Gene647-zp_tree_all.dnd", "Gene647-tree")</f>
        <v>Gene647-tree</v>
      </c>
      <c r="L132">
        <v>2</v>
      </c>
      <c r="M132">
        <v>3</v>
      </c>
      <c r="N132">
        <v>2</v>
      </c>
      <c r="O132">
        <v>3</v>
      </c>
      <c r="P132">
        <v>0.6</v>
      </c>
      <c r="Q132" t="s">
        <v>124</v>
      </c>
      <c r="R132" t="s">
        <v>86</v>
      </c>
      <c r="S132" t="s">
        <v>66</v>
      </c>
      <c r="T132" t="s">
        <v>66</v>
      </c>
      <c r="U132">
        <v>1</v>
      </c>
      <c r="V132">
        <v>2</v>
      </c>
      <c r="W132">
        <v>8</v>
      </c>
      <c r="X132">
        <v>0.2</v>
      </c>
      <c r="Y132">
        <v>0</v>
      </c>
      <c r="Z132">
        <v>0</v>
      </c>
      <c r="AA132">
        <v>0</v>
      </c>
      <c r="AB132">
        <v>4</v>
      </c>
      <c r="AC132">
        <v>0</v>
      </c>
      <c r="AD132">
        <v>2</v>
      </c>
      <c r="AE132">
        <v>0</v>
      </c>
      <c r="AF132">
        <v>2</v>
      </c>
      <c r="AG132">
        <v>4</v>
      </c>
      <c r="AH132">
        <v>0.33333000000000002</v>
      </c>
      <c r="AI132">
        <v>5</v>
      </c>
      <c r="AJ132">
        <v>2</v>
      </c>
      <c r="AK132">
        <v>29</v>
      </c>
      <c r="AL132">
        <v>6</v>
      </c>
      <c r="AM132">
        <v>34</v>
      </c>
      <c r="AN132">
        <v>4</v>
      </c>
      <c r="AO132" t="s">
        <v>831</v>
      </c>
      <c r="AP132" t="s">
        <v>832</v>
      </c>
      <c r="AQ132">
        <v>0.58399999999999996</v>
      </c>
      <c r="AR132" t="s">
        <v>69</v>
      </c>
      <c r="AS132">
        <v>63</v>
      </c>
      <c r="AT132">
        <v>10</v>
      </c>
      <c r="AU132">
        <v>2.281E-2</v>
      </c>
      <c r="AV132">
        <v>-3.3899999999999998E-3</v>
      </c>
      <c r="AW132">
        <v>9.6420000000000006E-2</v>
      </c>
      <c r="AX132">
        <v>-1.512E-2</v>
      </c>
      <c r="AY132">
        <v>3.8600000000000001E-3</v>
      </c>
      <c r="AZ132">
        <v>-5.9999999999999995E-4</v>
      </c>
      <c r="BA132">
        <v>3.9989999999999998E-2</v>
      </c>
      <c r="BB132">
        <v>1</v>
      </c>
      <c r="BC132" t="s">
        <v>70</v>
      </c>
      <c r="BD132">
        <v>0.57099999999999995</v>
      </c>
      <c r="BE132">
        <v>0.45500000000000002</v>
      </c>
      <c r="BF132" t="s">
        <v>71</v>
      </c>
      <c r="BG132">
        <v>7.8873239436619696E-2</v>
      </c>
      <c r="BI132">
        <v>73</v>
      </c>
      <c r="BJ132">
        <v>3.9989999999999998E-2</v>
      </c>
      <c r="BK132">
        <v>7.8873239436619696E-2</v>
      </c>
    </row>
    <row r="133" spans="1:63">
      <c r="A133">
        <v>647</v>
      </c>
      <c r="B133" t="s">
        <v>828</v>
      </c>
      <c r="D133" t="s">
        <v>60</v>
      </c>
      <c r="E133">
        <v>692740</v>
      </c>
      <c r="F133">
        <v>694278</v>
      </c>
      <c r="G133" t="s">
        <v>830</v>
      </c>
      <c r="H133">
        <v>513</v>
      </c>
      <c r="I133" t="s">
        <v>63</v>
      </c>
      <c r="J133">
        <v>5</v>
      </c>
      <c r="K133" t="str">
        <f>HYPERLINK("Gene647-zp_tree_all.dnd", "Gene647-tree")</f>
        <v>Gene647-tree</v>
      </c>
      <c r="L133">
        <v>2</v>
      </c>
      <c r="M133">
        <v>3</v>
      </c>
      <c r="N133">
        <v>2</v>
      </c>
      <c r="O133">
        <v>3</v>
      </c>
      <c r="P133">
        <v>0.6</v>
      </c>
      <c r="Q133" t="s">
        <v>124</v>
      </c>
      <c r="R133" t="s">
        <v>86</v>
      </c>
      <c r="S133" t="s">
        <v>66</v>
      </c>
      <c r="T133" t="s">
        <v>66</v>
      </c>
      <c r="U133">
        <v>1</v>
      </c>
      <c r="V133">
        <v>2</v>
      </c>
      <c r="W133">
        <v>8</v>
      </c>
      <c r="X133">
        <v>0.2</v>
      </c>
      <c r="Y133">
        <v>0</v>
      </c>
      <c r="Z133">
        <v>0</v>
      </c>
      <c r="AA133">
        <v>0</v>
      </c>
      <c r="AB133">
        <v>4</v>
      </c>
      <c r="AC133">
        <v>0</v>
      </c>
      <c r="AD133">
        <v>2</v>
      </c>
      <c r="AE133">
        <v>0</v>
      </c>
      <c r="AF133">
        <v>2</v>
      </c>
      <c r="AG133">
        <v>4</v>
      </c>
      <c r="AH133">
        <v>0.33333000000000002</v>
      </c>
      <c r="AI133">
        <v>5</v>
      </c>
      <c r="AJ133">
        <v>2</v>
      </c>
      <c r="AK133">
        <v>29</v>
      </c>
      <c r="AL133">
        <v>6</v>
      </c>
      <c r="AM133">
        <v>34</v>
      </c>
      <c r="AN133">
        <v>4</v>
      </c>
      <c r="AO133" t="s">
        <v>831</v>
      </c>
      <c r="AP133" t="s">
        <v>832</v>
      </c>
      <c r="AQ133">
        <v>0.58399999999999996</v>
      </c>
      <c r="AR133" t="s">
        <v>69</v>
      </c>
      <c r="AS133">
        <v>63</v>
      </c>
      <c r="AT133">
        <v>10</v>
      </c>
      <c r="AU133">
        <v>2.281E-2</v>
      </c>
      <c r="AV133">
        <v>-3.3899999999999998E-3</v>
      </c>
      <c r="AW133">
        <v>9.6420000000000006E-2</v>
      </c>
      <c r="AX133">
        <v>-1.512E-2</v>
      </c>
      <c r="AY133">
        <v>3.8600000000000001E-3</v>
      </c>
      <c r="AZ133">
        <v>-5.9999999999999995E-4</v>
      </c>
      <c r="BA133">
        <v>3.9989999999999998E-2</v>
      </c>
      <c r="BB133">
        <v>1</v>
      </c>
      <c r="BC133" t="s">
        <v>70</v>
      </c>
      <c r="BD133">
        <v>0.57099999999999995</v>
      </c>
      <c r="BE133">
        <v>0.45500000000000002</v>
      </c>
      <c r="BF133" t="s">
        <v>71</v>
      </c>
      <c r="BG133">
        <v>7.8873239436619696E-2</v>
      </c>
      <c r="BI133">
        <v>73</v>
      </c>
      <c r="BJ133">
        <v>3.9989999999999998E-2</v>
      </c>
      <c r="BK133">
        <v>7.8873239436619696E-2</v>
      </c>
    </row>
    <row r="134" spans="1:63">
      <c r="A134">
        <v>650</v>
      </c>
      <c r="B134" t="s">
        <v>833</v>
      </c>
      <c r="D134" t="s">
        <v>60</v>
      </c>
      <c r="E134">
        <v>697157</v>
      </c>
      <c r="F134">
        <v>697321</v>
      </c>
      <c r="G134" t="s">
        <v>74</v>
      </c>
      <c r="H134">
        <v>55</v>
      </c>
      <c r="I134" t="s">
        <v>106</v>
      </c>
      <c r="J134">
        <v>4</v>
      </c>
      <c r="K134" t="str">
        <f>HYPERLINK("Gene650-zp_tree_all.dnd", "Gene650-tree")</f>
        <v>Gene650-tree</v>
      </c>
      <c r="L134">
        <v>3</v>
      </c>
      <c r="M134">
        <v>1</v>
      </c>
      <c r="N134">
        <v>3</v>
      </c>
      <c r="O134">
        <v>1</v>
      </c>
      <c r="P134">
        <v>0.25</v>
      </c>
      <c r="Q134" t="s">
        <v>86</v>
      </c>
      <c r="R134" t="s">
        <v>65</v>
      </c>
      <c r="S134" t="s">
        <v>66</v>
      </c>
      <c r="T134" t="s">
        <v>66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4</v>
      </c>
      <c r="AJ134">
        <v>1</v>
      </c>
      <c r="AK134">
        <v>9</v>
      </c>
      <c r="AL134">
        <v>1</v>
      </c>
      <c r="AM134">
        <v>1</v>
      </c>
      <c r="AN134">
        <v>0</v>
      </c>
      <c r="AO134" t="s">
        <v>835</v>
      </c>
      <c r="AP134" t="s">
        <v>68</v>
      </c>
      <c r="AQ134">
        <v>0.496</v>
      </c>
      <c r="AR134" t="s">
        <v>69</v>
      </c>
      <c r="AS134">
        <v>10</v>
      </c>
      <c r="AT134">
        <v>1</v>
      </c>
      <c r="AU134">
        <v>3.2320000000000002E-2</v>
      </c>
      <c r="AV134">
        <v>-8.4100000000000008E-3</v>
      </c>
      <c r="AW134">
        <v>0.15912999999999999</v>
      </c>
      <c r="AX134">
        <v>-4.1590000000000002E-2</v>
      </c>
      <c r="AY134">
        <v>3.8700000000000002E-3</v>
      </c>
      <c r="AZ134">
        <v>-1.58E-3</v>
      </c>
      <c r="BA134">
        <v>2.4309999999999998E-2</v>
      </c>
      <c r="BB134">
        <v>1</v>
      </c>
      <c r="BC134" t="s">
        <v>70</v>
      </c>
      <c r="BD134">
        <v>-0.222</v>
      </c>
      <c r="BE134">
        <v>-0.222</v>
      </c>
      <c r="BF134" t="s">
        <v>71</v>
      </c>
      <c r="BG134">
        <v>9.0909090909090898E-2</v>
      </c>
      <c r="BI134">
        <v>11</v>
      </c>
      <c r="BJ134">
        <v>2.4309999999999998E-2</v>
      </c>
      <c r="BK134">
        <v>9.0909090909090898E-2</v>
      </c>
    </row>
    <row r="135" spans="1:63">
      <c r="A135">
        <v>651</v>
      </c>
      <c r="B135" t="s">
        <v>836</v>
      </c>
      <c r="D135" t="s">
        <v>60</v>
      </c>
      <c r="E135">
        <v>697538</v>
      </c>
      <c r="F135">
        <v>698089</v>
      </c>
      <c r="G135" t="s">
        <v>74</v>
      </c>
      <c r="H135">
        <v>184</v>
      </c>
      <c r="I135" t="s">
        <v>63</v>
      </c>
      <c r="J135">
        <v>5</v>
      </c>
      <c r="K135" t="str">
        <f>HYPERLINK("Gene651-zp_tree_all.dnd", "Gene651-tree")</f>
        <v>Gene651-tree</v>
      </c>
      <c r="L135">
        <v>2</v>
      </c>
      <c r="M135">
        <v>3</v>
      </c>
      <c r="N135">
        <v>2</v>
      </c>
      <c r="O135">
        <v>3</v>
      </c>
      <c r="P135">
        <v>0.6</v>
      </c>
      <c r="Q135" t="s">
        <v>124</v>
      </c>
      <c r="R135" t="s">
        <v>86</v>
      </c>
      <c r="S135" t="s">
        <v>66</v>
      </c>
      <c r="T135" t="s">
        <v>66</v>
      </c>
      <c r="U135">
        <v>0</v>
      </c>
      <c r="V135">
        <v>0</v>
      </c>
      <c r="W135">
        <v>5</v>
      </c>
      <c r="X135">
        <v>0</v>
      </c>
      <c r="Y135">
        <v>0</v>
      </c>
      <c r="Z135">
        <v>0</v>
      </c>
      <c r="AA135">
        <v>0</v>
      </c>
      <c r="AB135">
        <v>2</v>
      </c>
      <c r="AC135">
        <v>0</v>
      </c>
      <c r="AD135">
        <v>0</v>
      </c>
      <c r="AE135">
        <v>0</v>
      </c>
      <c r="AF135">
        <v>0</v>
      </c>
      <c r="AG135">
        <v>3</v>
      </c>
      <c r="AH135">
        <v>0</v>
      </c>
      <c r="AI135">
        <v>4</v>
      </c>
      <c r="AJ135">
        <v>2</v>
      </c>
      <c r="AK135">
        <v>22</v>
      </c>
      <c r="AL135">
        <v>3</v>
      </c>
      <c r="AM135">
        <v>8</v>
      </c>
      <c r="AN135">
        <v>2</v>
      </c>
      <c r="AO135" t="s">
        <v>838</v>
      </c>
      <c r="AP135" t="s">
        <v>839</v>
      </c>
      <c r="AQ135">
        <v>0.60099999999999998</v>
      </c>
      <c r="AR135" t="s">
        <v>69</v>
      </c>
      <c r="AS135">
        <v>30</v>
      </c>
      <c r="AT135">
        <v>5</v>
      </c>
      <c r="AU135">
        <v>2.7900000000000001E-2</v>
      </c>
      <c r="AV135">
        <v>-2.8999999999999998E-3</v>
      </c>
      <c r="AW135">
        <v>0.10483000000000001</v>
      </c>
      <c r="AX135">
        <v>-1.179E-2</v>
      </c>
      <c r="AY135">
        <v>5.77E-3</v>
      </c>
      <c r="AZ135">
        <v>-8.4999999999999995E-4</v>
      </c>
      <c r="BA135">
        <v>5.5030000000000003E-2</v>
      </c>
      <c r="BB135">
        <v>1</v>
      </c>
      <c r="BC135" t="s">
        <v>70</v>
      </c>
      <c r="BD135">
        <v>-0.20799999999999999</v>
      </c>
      <c r="BE135">
        <v>-0.20799999999999999</v>
      </c>
      <c r="BF135" t="s">
        <v>71</v>
      </c>
      <c r="BG135">
        <v>0.125</v>
      </c>
      <c r="BI135">
        <v>35</v>
      </c>
      <c r="BJ135">
        <v>5.5030000000000003E-2</v>
      </c>
      <c r="BK135">
        <v>0.125</v>
      </c>
    </row>
    <row r="136" spans="1:63">
      <c r="A136">
        <v>652</v>
      </c>
      <c r="B136" t="s">
        <v>840</v>
      </c>
      <c r="D136" t="s">
        <v>60</v>
      </c>
      <c r="E136">
        <v>698092</v>
      </c>
      <c r="F136">
        <v>698286</v>
      </c>
      <c r="G136" t="s">
        <v>74</v>
      </c>
      <c r="H136">
        <v>65</v>
      </c>
      <c r="I136" t="s">
        <v>63</v>
      </c>
      <c r="J136">
        <v>5</v>
      </c>
      <c r="K136" t="str">
        <f>HYPERLINK("Gene652-zp_tree_all.dnd", "Gene652-tree")</f>
        <v>Gene652-tree</v>
      </c>
      <c r="L136">
        <v>4</v>
      </c>
      <c r="M136">
        <v>1</v>
      </c>
      <c r="N136">
        <v>4</v>
      </c>
      <c r="O136">
        <v>1</v>
      </c>
      <c r="P136">
        <v>0.2</v>
      </c>
      <c r="Q136" t="s">
        <v>64</v>
      </c>
      <c r="R136" t="s">
        <v>65</v>
      </c>
      <c r="S136" t="s">
        <v>66</v>
      </c>
      <c r="T136" t="s">
        <v>66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4</v>
      </c>
      <c r="AJ136">
        <v>1</v>
      </c>
      <c r="AK136">
        <v>6</v>
      </c>
      <c r="AL136">
        <v>1</v>
      </c>
      <c r="AM136">
        <v>1</v>
      </c>
      <c r="AN136">
        <v>0</v>
      </c>
      <c r="AO136" t="s">
        <v>842</v>
      </c>
      <c r="AP136" t="s">
        <v>68</v>
      </c>
      <c r="AQ136">
        <v>0.59499999999999997</v>
      </c>
      <c r="AR136" t="s">
        <v>69</v>
      </c>
      <c r="AS136">
        <v>7</v>
      </c>
      <c r="AT136">
        <v>1</v>
      </c>
      <c r="AU136">
        <v>1.7440000000000001E-2</v>
      </c>
      <c r="AV136">
        <v>-2.4299999999999999E-3</v>
      </c>
      <c r="AW136">
        <v>8.4419999999999995E-2</v>
      </c>
      <c r="AX136">
        <v>-1.315E-2</v>
      </c>
      <c r="AY136">
        <v>2.5600000000000002E-3</v>
      </c>
      <c r="AZ136">
        <v>-9.8999999999999999E-4</v>
      </c>
      <c r="BA136">
        <v>3.032E-2</v>
      </c>
      <c r="BB136">
        <v>1</v>
      </c>
      <c r="BC136" t="s">
        <v>70</v>
      </c>
      <c r="BD136">
        <v>-0.80700000000000005</v>
      </c>
      <c r="BE136">
        <v>-0.80700000000000005</v>
      </c>
      <c r="BF136" t="s">
        <v>71</v>
      </c>
      <c r="BG136">
        <v>0.367088607594936</v>
      </c>
      <c r="BI136">
        <v>8</v>
      </c>
      <c r="BJ136">
        <v>3.032E-2</v>
      </c>
      <c r="BK136">
        <v>0.367088607594936</v>
      </c>
    </row>
    <row r="137" spans="1:63">
      <c r="A137">
        <v>653</v>
      </c>
      <c r="B137" t="s">
        <v>843</v>
      </c>
      <c r="D137" t="s">
        <v>60</v>
      </c>
      <c r="E137">
        <v>698612</v>
      </c>
      <c r="F137">
        <v>699097</v>
      </c>
      <c r="G137" t="s">
        <v>845</v>
      </c>
      <c r="H137">
        <v>162</v>
      </c>
      <c r="I137" t="s">
        <v>63</v>
      </c>
      <c r="J137">
        <v>5</v>
      </c>
      <c r="K137" t="str">
        <f>HYPERLINK("Gene653-zp_tree_all.dnd", "Gene653-tree")</f>
        <v>Gene653-tree</v>
      </c>
      <c r="L137">
        <v>3</v>
      </c>
      <c r="M137">
        <v>2</v>
      </c>
      <c r="N137">
        <v>3</v>
      </c>
      <c r="O137">
        <v>2</v>
      </c>
      <c r="P137">
        <v>0.4</v>
      </c>
      <c r="Q137" t="s">
        <v>86</v>
      </c>
      <c r="R137" t="s">
        <v>124</v>
      </c>
      <c r="S137" t="s">
        <v>66</v>
      </c>
      <c r="T137" t="s">
        <v>66</v>
      </c>
      <c r="U137">
        <v>0</v>
      </c>
      <c r="V137">
        <v>0</v>
      </c>
      <c r="W137">
        <v>5</v>
      </c>
      <c r="X137">
        <v>0</v>
      </c>
      <c r="Y137">
        <v>0</v>
      </c>
      <c r="Z137">
        <v>0</v>
      </c>
      <c r="AA137">
        <v>0</v>
      </c>
      <c r="AB137">
        <v>3</v>
      </c>
      <c r="AC137">
        <v>0</v>
      </c>
      <c r="AD137">
        <v>0</v>
      </c>
      <c r="AE137">
        <v>0</v>
      </c>
      <c r="AF137">
        <v>0</v>
      </c>
      <c r="AG137">
        <v>2</v>
      </c>
      <c r="AH137">
        <v>0</v>
      </c>
      <c r="AI137">
        <v>4</v>
      </c>
      <c r="AJ137">
        <v>2</v>
      </c>
      <c r="AK137">
        <v>8</v>
      </c>
      <c r="AL137">
        <v>2</v>
      </c>
      <c r="AM137">
        <v>15</v>
      </c>
      <c r="AN137">
        <v>3</v>
      </c>
      <c r="AO137" t="s">
        <v>846</v>
      </c>
      <c r="AP137" t="s">
        <v>847</v>
      </c>
      <c r="AQ137">
        <v>0.22700000000000001</v>
      </c>
      <c r="AR137" t="s">
        <v>69</v>
      </c>
      <c r="AS137">
        <v>23</v>
      </c>
      <c r="AT137">
        <v>5</v>
      </c>
      <c r="AU137">
        <v>2.9219999999999999E-2</v>
      </c>
      <c r="AV137">
        <v>-5.3499999999999997E-3</v>
      </c>
      <c r="AW137">
        <v>0.10745</v>
      </c>
      <c r="AX137">
        <v>-2.0760000000000001E-2</v>
      </c>
      <c r="AY137">
        <v>7.1300000000000001E-3</v>
      </c>
      <c r="AZ137">
        <v>-1.0200000000000001E-3</v>
      </c>
      <c r="BA137">
        <v>6.6309999999999994E-2</v>
      </c>
      <c r="BB137">
        <v>1</v>
      </c>
      <c r="BC137" t="s">
        <v>70</v>
      </c>
      <c r="BD137">
        <v>1.0269999999999999</v>
      </c>
      <c r="BE137">
        <v>0.43</v>
      </c>
      <c r="BF137" t="s">
        <v>71</v>
      </c>
      <c r="BG137">
        <v>9.3877551020408095E-2</v>
      </c>
      <c r="BI137">
        <v>28</v>
      </c>
      <c r="BJ137">
        <v>6.6309999999999994E-2</v>
      </c>
      <c r="BK137">
        <v>9.3877551020408095E-2</v>
      </c>
    </row>
    <row r="138" spans="1:63">
      <c r="A138">
        <v>654</v>
      </c>
      <c r="B138" t="s">
        <v>848</v>
      </c>
      <c r="D138" t="s">
        <v>60</v>
      </c>
      <c r="E138">
        <v>699093</v>
      </c>
      <c r="F138">
        <v>700232</v>
      </c>
      <c r="G138" t="s">
        <v>850</v>
      </c>
      <c r="H138">
        <v>380</v>
      </c>
      <c r="I138" t="s">
        <v>85</v>
      </c>
      <c r="J138">
        <v>4</v>
      </c>
      <c r="K138" t="str">
        <f>HYPERLINK("Gene654-zp_tree_all.dnd", "Gene654-tree")</f>
        <v>Gene654-tree</v>
      </c>
      <c r="L138">
        <v>0</v>
      </c>
      <c r="M138">
        <v>4</v>
      </c>
      <c r="N138">
        <v>0</v>
      </c>
      <c r="O138">
        <v>4</v>
      </c>
      <c r="P138">
        <v>1</v>
      </c>
      <c r="Q138" t="s">
        <v>66</v>
      </c>
      <c r="R138" t="s">
        <v>64</v>
      </c>
      <c r="S138" t="s">
        <v>66</v>
      </c>
      <c r="T138" t="s">
        <v>66</v>
      </c>
      <c r="U138">
        <v>4</v>
      </c>
      <c r="V138">
        <v>8</v>
      </c>
      <c r="W138">
        <v>18</v>
      </c>
      <c r="X138">
        <v>0.30769000000000002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6</v>
      </c>
      <c r="AE138">
        <v>2</v>
      </c>
      <c r="AF138">
        <v>8</v>
      </c>
      <c r="AG138">
        <v>18</v>
      </c>
      <c r="AH138">
        <v>0.30769000000000002</v>
      </c>
      <c r="AI138">
        <v>4</v>
      </c>
      <c r="AJ138">
        <v>1</v>
      </c>
      <c r="AK138">
        <v>50</v>
      </c>
      <c r="AL138">
        <v>28</v>
      </c>
      <c r="AM138">
        <v>5</v>
      </c>
      <c r="AN138">
        <v>1</v>
      </c>
      <c r="AO138" t="s">
        <v>851</v>
      </c>
      <c r="AP138" t="s">
        <v>852</v>
      </c>
      <c r="AQ138">
        <v>1.0920000000000001</v>
      </c>
      <c r="AR138" t="s">
        <v>69</v>
      </c>
      <c r="AS138">
        <v>55</v>
      </c>
      <c r="AT138">
        <v>29</v>
      </c>
      <c r="AU138">
        <v>3.567E-2</v>
      </c>
      <c r="AV138">
        <v>-7.1199999999999996E-3</v>
      </c>
      <c r="AW138">
        <v>0.11611</v>
      </c>
      <c r="AX138">
        <v>-2.5940000000000001E-2</v>
      </c>
      <c r="AY138">
        <v>1.566E-2</v>
      </c>
      <c r="AZ138">
        <v>-2.8500000000000001E-3</v>
      </c>
      <c r="BA138">
        <v>0.13489999999999999</v>
      </c>
      <c r="BB138">
        <v>1</v>
      </c>
      <c r="BC138" t="s">
        <v>70</v>
      </c>
      <c r="BD138">
        <v>-0.33200000000000002</v>
      </c>
      <c r="BE138">
        <v>-0.57999999999999996</v>
      </c>
      <c r="BF138" t="s">
        <v>71</v>
      </c>
      <c r="BG138">
        <v>0.143911439114391</v>
      </c>
      <c r="BI138">
        <v>84</v>
      </c>
      <c r="BJ138">
        <v>0.13489999999999999</v>
      </c>
      <c r="BK138">
        <v>0.143911439114391</v>
      </c>
    </row>
    <row r="139" spans="1:63">
      <c r="A139">
        <v>655</v>
      </c>
      <c r="B139" t="s">
        <v>853</v>
      </c>
      <c r="D139" t="s">
        <v>60</v>
      </c>
      <c r="E139">
        <v>700232</v>
      </c>
      <c r="F139">
        <v>701524</v>
      </c>
      <c r="G139" t="s">
        <v>855</v>
      </c>
      <c r="H139">
        <v>431</v>
      </c>
      <c r="I139" t="s">
        <v>63</v>
      </c>
      <c r="J139">
        <v>5</v>
      </c>
      <c r="K139" t="str">
        <f>HYPERLINK("Gene655-zp_tree_all.dnd", "Gene655-tree")</f>
        <v>Gene655-tree</v>
      </c>
      <c r="L139">
        <v>3</v>
      </c>
      <c r="M139">
        <v>2</v>
      </c>
      <c r="N139">
        <v>3</v>
      </c>
      <c r="O139">
        <v>2</v>
      </c>
      <c r="P139">
        <v>0.4</v>
      </c>
      <c r="Q139" t="s">
        <v>86</v>
      </c>
      <c r="R139" t="s">
        <v>124</v>
      </c>
      <c r="S139" t="s">
        <v>66</v>
      </c>
      <c r="T139" t="s">
        <v>66</v>
      </c>
      <c r="U139">
        <v>1</v>
      </c>
      <c r="V139">
        <v>2</v>
      </c>
      <c r="W139">
        <v>3</v>
      </c>
      <c r="X139">
        <v>0.4</v>
      </c>
      <c r="Y139">
        <v>0</v>
      </c>
      <c r="Z139">
        <v>0</v>
      </c>
      <c r="AA139">
        <v>0</v>
      </c>
      <c r="AB139">
        <v>2</v>
      </c>
      <c r="AC139">
        <v>0</v>
      </c>
      <c r="AD139">
        <v>2</v>
      </c>
      <c r="AE139">
        <v>0</v>
      </c>
      <c r="AF139">
        <v>2</v>
      </c>
      <c r="AG139">
        <v>1</v>
      </c>
      <c r="AH139">
        <v>0.66666999999999998</v>
      </c>
      <c r="AI139">
        <v>5</v>
      </c>
      <c r="AJ139">
        <v>2</v>
      </c>
      <c r="AK139">
        <v>44</v>
      </c>
      <c r="AL139">
        <v>3</v>
      </c>
      <c r="AM139">
        <v>45</v>
      </c>
      <c r="AN139">
        <v>2</v>
      </c>
      <c r="AO139" t="s">
        <v>856</v>
      </c>
      <c r="AP139" t="s">
        <v>857</v>
      </c>
      <c r="AQ139">
        <v>0.42299999999999999</v>
      </c>
      <c r="AR139" t="s">
        <v>69</v>
      </c>
      <c r="AS139">
        <v>89</v>
      </c>
      <c r="AT139">
        <v>5</v>
      </c>
      <c r="AU139">
        <v>3.4029999999999998E-2</v>
      </c>
      <c r="AV139">
        <v>-4.4200000000000003E-3</v>
      </c>
      <c r="AW139">
        <v>0.16206000000000001</v>
      </c>
      <c r="AX139">
        <v>-2.2769999999999999E-2</v>
      </c>
      <c r="AY139">
        <v>2.2000000000000001E-3</v>
      </c>
      <c r="AZ139">
        <v>-3.1E-4</v>
      </c>
      <c r="BA139">
        <v>1.359E-2</v>
      </c>
      <c r="BB139">
        <v>1</v>
      </c>
      <c r="BC139" t="s">
        <v>70</v>
      </c>
      <c r="BD139">
        <v>0.89500000000000002</v>
      </c>
      <c r="BE139">
        <v>0.432</v>
      </c>
      <c r="BF139" t="s">
        <v>71</v>
      </c>
      <c r="BG139">
        <v>5.5837563451776602E-2</v>
      </c>
      <c r="BI139">
        <v>94</v>
      </c>
      <c r="BJ139">
        <v>1.359E-2</v>
      </c>
      <c r="BK139">
        <v>5.5837563451776602E-2</v>
      </c>
    </row>
    <row r="140" spans="1:63">
      <c r="A140">
        <v>655</v>
      </c>
      <c r="B140" t="s">
        <v>853</v>
      </c>
      <c r="D140" t="s">
        <v>60</v>
      </c>
      <c r="E140">
        <v>700232</v>
      </c>
      <c r="F140">
        <v>701524</v>
      </c>
      <c r="G140" t="s">
        <v>855</v>
      </c>
      <c r="H140">
        <v>431</v>
      </c>
      <c r="I140" t="s">
        <v>63</v>
      </c>
      <c r="J140">
        <v>5</v>
      </c>
      <c r="K140" t="str">
        <f>HYPERLINK("Gene655-zp_tree_all.dnd", "Gene655-tree")</f>
        <v>Gene655-tree</v>
      </c>
      <c r="L140">
        <v>3</v>
      </c>
      <c r="M140">
        <v>2</v>
      </c>
      <c r="N140">
        <v>3</v>
      </c>
      <c r="O140">
        <v>2</v>
      </c>
      <c r="P140">
        <v>0.4</v>
      </c>
      <c r="Q140" t="s">
        <v>86</v>
      </c>
      <c r="R140" t="s">
        <v>124</v>
      </c>
      <c r="S140" t="s">
        <v>66</v>
      </c>
      <c r="T140" t="s">
        <v>66</v>
      </c>
      <c r="U140">
        <v>1</v>
      </c>
      <c r="V140">
        <v>2</v>
      </c>
      <c r="W140">
        <v>3</v>
      </c>
      <c r="X140">
        <v>0.4</v>
      </c>
      <c r="Y140">
        <v>0</v>
      </c>
      <c r="Z140">
        <v>0</v>
      </c>
      <c r="AA140">
        <v>0</v>
      </c>
      <c r="AB140">
        <v>2</v>
      </c>
      <c r="AC140">
        <v>0</v>
      </c>
      <c r="AD140">
        <v>2</v>
      </c>
      <c r="AE140">
        <v>0</v>
      </c>
      <c r="AF140">
        <v>2</v>
      </c>
      <c r="AG140">
        <v>1</v>
      </c>
      <c r="AH140">
        <v>0.66666999999999998</v>
      </c>
      <c r="AI140">
        <v>5</v>
      </c>
      <c r="AJ140">
        <v>2</v>
      </c>
      <c r="AK140">
        <v>44</v>
      </c>
      <c r="AL140">
        <v>3</v>
      </c>
      <c r="AM140">
        <v>45</v>
      </c>
      <c r="AN140">
        <v>2</v>
      </c>
      <c r="AO140" t="s">
        <v>856</v>
      </c>
      <c r="AP140" t="s">
        <v>857</v>
      </c>
      <c r="AQ140">
        <v>0.42299999999999999</v>
      </c>
      <c r="AR140" t="s">
        <v>69</v>
      </c>
      <c r="AS140">
        <v>89</v>
      </c>
      <c r="AT140">
        <v>5</v>
      </c>
      <c r="AU140">
        <v>3.4029999999999998E-2</v>
      </c>
      <c r="AV140">
        <v>-4.4200000000000003E-3</v>
      </c>
      <c r="AW140">
        <v>0.16206000000000001</v>
      </c>
      <c r="AX140">
        <v>-2.2769999999999999E-2</v>
      </c>
      <c r="AY140">
        <v>2.2000000000000001E-3</v>
      </c>
      <c r="AZ140">
        <v>-3.1E-4</v>
      </c>
      <c r="BA140">
        <v>1.359E-2</v>
      </c>
      <c r="BB140">
        <v>1</v>
      </c>
      <c r="BC140" t="s">
        <v>70</v>
      </c>
      <c r="BD140">
        <v>0.89500000000000002</v>
      </c>
      <c r="BE140">
        <v>0.432</v>
      </c>
      <c r="BF140" t="s">
        <v>71</v>
      </c>
      <c r="BG140">
        <v>5.5837563451776602E-2</v>
      </c>
      <c r="BI140">
        <v>94</v>
      </c>
      <c r="BJ140">
        <v>1.359E-2</v>
      </c>
      <c r="BK140">
        <v>5.5837563451776602E-2</v>
      </c>
    </row>
    <row r="141" spans="1:63">
      <c r="A141">
        <v>656</v>
      </c>
      <c r="B141" t="s">
        <v>858</v>
      </c>
      <c r="D141" t="s">
        <v>60</v>
      </c>
      <c r="E141">
        <v>701601</v>
      </c>
      <c r="F141">
        <v>702323</v>
      </c>
      <c r="G141" t="s">
        <v>860</v>
      </c>
      <c r="H141">
        <v>241</v>
      </c>
      <c r="I141" t="s">
        <v>85</v>
      </c>
      <c r="J141">
        <v>4</v>
      </c>
      <c r="K141" t="str">
        <f>HYPERLINK("Gene656-zp_tree_all.dnd", "Gene656-tree")</f>
        <v>Gene656-tree</v>
      </c>
      <c r="L141">
        <v>0</v>
      </c>
      <c r="M141">
        <v>4</v>
      </c>
      <c r="N141">
        <v>0</v>
      </c>
      <c r="O141">
        <v>4</v>
      </c>
      <c r="P141">
        <v>1</v>
      </c>
      <c r="Q141" t="s">
        <v>66</v>
      </c>
      <c r="R141" t="s">
        <v>64</v>
      </c>
      <c r="S141" t="s">
        <v>66</v>
      </c>
      <c r="T141" t="s">
        <v>66</v>
      </c>
      <c r="U141">
        <v>1</v>
      </c>
      <c r="V141">
        <v>2</v>
      </c>
      <c r="W141">
        <v>7</v>
      </c>
      <c r="X141">
        <v>0.22222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</v>
      </c>
      <c r="AE141">
        <v>0</v>
      </c>
      <c r="AF141">
        <v>2</v>
      </c>
      <c r="AG141">
        <v>7</v>
      </c>
      <c r="AH141">
        <v>0.22222</v>
      </c>
      <c r="AI141">
        <v>4</v>
      </c>
      <c r="AJ141">
        <v>1</v>
      </c>
      <c r="AK141">
        <v>37</v>
      </c>
      <c r="AL141">
        <v>10</v>
      </c>
      <c r="AM141">
        <v>5</v>
      </c>
      <c r="AN141">
        <v>1</v>
      </c>
      <c r="AO141" t="s">
        <v>861</v>
      </c>
      <c r="AP141" t="s">
        <v>862</v>
      </c>
      <c r="AQ141">
        <v>0.55400000000000005</v>
      </c>
      <c r="AR141" t="s">
        <v>69</v>
      </c>
      <c r="AS141">
        <v>42</v>
      </c>
      <c r="AT141">
        <v>11</v>
      </c>
      <c r="AU141">
        <v>3.5729999999999998E-2</v>
      </c>
      <c r="AV141">
        <v>-5.2300000000000003E-3</v>
      </c>
      <c r="AW141">
        <v>0.14581</v>
      </c>
      <c r="AX141">
        <v>-2.6960000000000001E-2</v>
      </c>
      <c r="AY141">
        <v>9.4999999999999998E-3</v>
      </c>
      <c r="AZ141">
        <v>-9.1E-4</v>
      </c>
      <c r="BA141">
        <v>6.5129999999999993E-2</v>
      </c>
      <c r="BB141">
        <v>1</v>
      </c>
      <c r="BC141" t="s">
        <v>70</v>
      </c>
      <c r="BD141">
        <v>-0.13800000000000001</v>
      </c>
      <c r="BE141">
        <v>-0.33700000000000002</v>
      </c>
      <c r="BF141" t="s">
        <v>71</v>
      </c>
      <c r="BG141">
        <v>0.11038961038961</v>
      </c>
      <c r="BI141">
        <v>53</v>
      </c>
      <c r="BJ141">
        <v>6.5129999999999993E-2</v>
      </c>
      <c r="BK141">
        <v>0.11038961038961</v>
      </c>
    </row>
    <row r="142" spans="1:63">
      <c r="A142">
        <v>657</v>
      </c>
      <c r="B142" t="s">
        <v>863</v>
      </c>
      <c r="D142" t="s">
        <v>60</v>
      </c>
      <c r="E142">
        <v>702319</v>
      </c>
      <c r="F142">
        <v>702570</v>
      </c>
      <c r="G142" t="s">
        <v>74</v>
      </c>
      <c r="H142">
        <v>84</v>
      </c>
      <c r="I142" t="s">
        <v>63</v>
      </c>
      <c r="J142">
        <v>5</v>
      </c>
      <c r="K142" t="str">
        <f>HYPERLINK("Gene657-zp_tree_all.dnd", "Gene657-tree")</f>
        <v>Gene657-tree</v>
      </c>
      <c r="L142">
        <v>4</v>
      </c>
      <c r="M142">
        <v>1</v>
      </c>
      <c r="N142">
        <v>4</v>
      </c>
      <c r="O142">
        <v>1</v>
      </c>
      <c r="P142">
        <v>0.2</v>
      </c>
      <c r="Q142" t="s">
        <v>64</v>
      </c>
      <c r="R142" t="s">
        <v>65</v>
      </c>
      <c r="S142" t="s">
        <v>66</v>
      </c>
      <c r="T142" t="s">
        <v>66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4</v>
      </c>
      <c r="AJ142">
        <v>2</v>
      </c>
      <c r="AK142">
        <v>7</v>
      </c>
      <c r="AL142">
        <v>1</v>
      </c>
      <c r="AM142">
        <v>5</v>
      </c>
      <c r="AN142">
        <v>0</v>
      </c>
      <c r="AO142" t="s">
        <v>865</v>
      </c>
      <c r="AP142" t="s">
        <v>68</v>
      </c>
      <c r="AQ142">
        <v>0.61799999999999999</v>
      </c>
      <c r="AR142" t="s">
        <v>69</v>
      </c>
      <c r="AS142">
        <v>12</v>
      </c>
      <c r="AT142">
        <v>1</v>
      </c>
      <c r="AU142">
        <v>2.46E-2</v>
      </c>
      <c r="AV142">
        <v>-3.3999999999999998E-3</v>
      </c>
      <c r="AW142">
        <v>0.11620999999999999</v>
      </c>
      <c r="AX142">
        <v>-1.7840000000000002E-2</v>
      </c>
      <c r="AY142">
        <v>2.0400000000000001E-3</v>
      </c>
      <c r="AZ142">
        <v>-7.9000000000000001E-4</v>
      </c>
      <c r="BA142">
        <v>1.7510000000000001E-2</v>
      </c>
      <c r="BB142">
        <v>1</v>
      </c>
      <c r="BC142" t="s">
        <v>70</v>
      </c>
      <c r="BD142">
        <v>-4.7E-2</v>
      </c>
      <c r="BE142">
        <v>-4.7E-2</v>
      </c>
      <c r="BF142" t="s">
        <v>71</v>
      </c>
      <c r="BG142">
        <v>0.21904761904761899</v>
      </c>
      <c r="BI142">
        <v>13</v>
      </c>
      <c r="BJ142">
        <v>1.7510000000000001E-2</v>
      </c>
      <c r="BK142">
        <v>0.21904761904761899</v>
      </c>
    </row>
    <row r="143" spans="1:63">
      <c r="A143">
        <v>658</v>
      </c>
      <c r="B143" t="s">
        <v>866</v>
      </c>
      <c r="D143" t="s">
        <v>60</v>
      </c>
      <c r="E143">
        <v>702570</v>
      </c>
      <c r="F143">
        <v>703250</v>
      </c>
      <c r="G143" t="s">
        <v>868</v>
      </c>
      <c r="H143">
        <v>227</v>
      </c>
      <c r="I143" t="s">
        <v>63</v>
      </c>
      <c r="J143">
        <v>5</v>
      </c>
      <c r="K143" t="str">
        <f>HYPERLINK("Gene658-zp_tree_all.dnd", "Gene658-tree")</f>
        <v>Gene658-tree</v>
      </c>
      <c r="L143">
        <v>2</v>
      </c>
      <c r="M143">
        <v>3</v>
      </c>
      <c r="N143">
        <v>2</v>
      </c>
      <c r="O143">
        <v>3</v>
      </c>
      <c r="P143">
        <v>0.6</v>
      </c>
      <c r="Q143" t="s">
        <v>124</v>
      </c>
      <c r="R143" t="s">
        <v>86</v>
      </c>
      <c r="S143" t="s">
        <v>66</v>
      </c>
      <c r="T143" t="s">
        <v>66</v>
      </c>
      <c r="U143">
        <v>0</v>
      </c>
      <c r="V143">
        <v>0</v>
      </c>
      <c r="W143">
        <v>5</v>
      </c>
      <c r="X143">
        <v>0</v>
      </c>
      <c r="Y143">
        <v>0</v>
      </c>
      <c r="Z143">
        <v>0</v>
      </c>
      <c r="AA143">
        <v>0</v>
      </c>
      <c r="AB143">
        <v>2</v>
      </c>
      <c r="AC143">
        <v>0</v>
      </c>
      <c r="AD143">
        <v>0</v>
      </c>
      <c r="AE143">
        <v>0</v>
      </c>
      <c r="AF143">
        <v>0</v>
      </c>
      <c r="AG143">
        <v>3</v>
      </c>
      <c r="AH143">
        <v>0</v>
      </c>
      <c r="AI143">
        <v>5</v>
      </c>
      <c r="AJ143">
        <v>2</v>
      </c>
      <c r="AK143">
        <v>16</v>
      </c>
      <c r="AL143">
        <v>3</v>
      </c>
      <c r="AM143">
        <v>20</v>
      </c>
      <c r="AN143">
        <v>2</v>
      </c>
      <c r="AO143" t="s">
        <v>869</v>
      </c>
      <c r="AP143" t="s">
        <v>870</v>
      </c>
      <c r="AQ143">
        <v>0.68</v>
      </c>
      <c r="AR143" t="s">
        <v>69</v>
      </c>
      <c r="AS143">
        <v>36</v>
      </c>
      <c r="AT143">
        <v>5</v>
      </c>
      <c r="AU143">
        <v>2.9219999999999999E-2</v>
      </c>
      <c r="AV143">
        <v>-3.98E-3</v>
      </c>
      <c r="AW143">
        <v>0.1246</v>
      </c>
      <c r="AX143">
        <v>-1.7909999999999999E-2</v>
      </c>
      <c r="AY143">
        <v>4.5799999999999999E-3</v>
      </c>
      <c r="AZ143">
        <v>-6.7000000000000002E-4</v>
      </c>
      <c r="BA143">
        <v>3.6749999999999998E-2</v>
      </c>
      <c r="BB143">
        <v>1</v>
      </c>
      <c r="BC143" t="s">
        <v>70</v>
      </c>
      <c r="BD143">
        <v>0.68400000000000005</v>
      </c>
      <c r="BE143">
        <v>0.47799999999999998</v>
      </c>
      <c r="BF143" t="s">
        <v>71</v>
      </c>
      <c r="BG143">
        <v>0.114551083591331</v>
      </c>
      <c r="BI143">
        <v>41</v>
      </c>
      <c r="BJ143">
        <v>3.6749999999999998E-2</v>
      </c>
      <c r="BK143">
        <v>0.114551083591331</v>
      </c>
    </row>
    <row r="144" spans="1:63">
      <c r="A144">
        <v>668</v>
      </c>
      <c r="B144" t="s">
        <v>871</v>
      </c>
      <c r="D144" t="s">
        <v>60</v>
      </c>
      <c r="E144">
        <v>713664</v>
      </c>
      <c r="F144">
        <v>715403</v>
      </c>
      <c r="G144" t="s">
        <v>873</v>
      </c>
      <c r="H144">
        <v>580</v>
      </c>
      <c r="I144" t="s">
        <v>85</v>
      </c>
      <c r="J144">
        <v>4</v>
      </c>
      <c r="K144" t="str">
        <f>HYPERLINK("Gene668-zp_tree_all.dnd", "Gene668-tree")</f>
        <v>Gene668-tree</v>
      </c>
      <c r="L144">
        <v>1</v>
      </c>
      <c r="M144">
        <v>3</v>
      </c>
      <c r="N144">
        <v>1</v>
      </c>
      <c r="O144">
        <v>3</v>
      </c>
      <c r="P144">
        <v>0.75</v>
      </c>
      <c r="Q144" t="s">
        <v>65</v>
      </c>
      <c r="R144" t="s">
        <v>86</v>
      </c>
      <c r="S144" t="s">
        <v>66</v>
      </c>
      <c r="T144" t="s">
        <v>66</v>
      </c>
      <c r="U144">
        <v>0</v>
      </c>
      <c r="V144">
        <v>0</v>
      </c>
      <c r="W144">
        <v>9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9</v>
      </c>
      <c r="AH144">
        <v>0</v>
      </c>
      <c r="AI144">
        <v>4</v>
      </c>
      <c r="AJ144">
        <v>1</v>
      </c>
      <c r="AK144">
        <v>84</v>
      </c>
      <c r="AL144">
        <v>11</v>
      </c>
      <c r="AM144">
        <v>6</v>
      </c>
      <c r="AN144">
        <v>0</v>
      </c>
      <c r="AO144" t="s">
        <v>874</v>
      </c>
      <c r="AP144" t="s">
        <v>68</v>
      </c>
      <c r="AQ144">
        <v>0.93700000000000006</v>
      </c>
      <c r="AR144" t="s">
        <v>69</v>
      </c>
      <c r="AS144">
        <v>90</v>
      </c>
      <c r="AT144">
        <v>11</v>
      </c>
      <c r="AU144">
        <v>2.8930000000000001E-2</v>
      </c>
      <c r="AV144">
        <v>-7.1599999999999997E-3</v>
      </c>
      <c r="AW144">
        <v>0.12964999999999999</v>
      </c>
      <c r="AX144">
        <v>-3.5119999999999998E-2</v>
      </c>
      <c r="AY144">
        <v>4.0899999999999999E-3</v>
      </c>
      <c r="AZ144">
        <v>-8.4000000000000003E-4</v>
      </c>
      <c r="BA144">
        <v>3.1539999999999999E-2</v>
      </c>
      <c r="BB144">
        <v>1</v>
      </c>
      <c r="BC144" t="s">
        <v>70</v>
      </c>
      <c r="BD144">
        <v>-0.50900000000000001</v>
      </c>
      <c r="BE144">
        <v>-0.70699999999999996</v>
      </c>
      <c r="BF144" t="s">
        <v>71</v>
      </c>
      <c r="BG144">
        <v>8.7628865979381396E-2</v>
      </c>
      <c r="BI144">
        <v>101</v>
      </c>
      <c r="BJ144">
        <v>3.1539999999999999E-2</v>
      </c>
      <c r="BK144">
        <v>8.7628865979381396E-2</v>
      </c>
    </row>
    <row r="145" spans="1:63">
      <c r="A145">
        <v>669</v>
      </c>
      <c r="B145" t="s">
        <v>875</v>
      </c>
      <c r="D145" t="s">
        <v>60</v>
      </c>
      <c r="E145">
        <v>715433</v>
      </c>
      <c r="F145">
        <v>716425</v>
      </c>
      <c r="G145" t="s">
        <v>818</v>
      </c>
      <c r="H145">
        <v>331</v>
      </c>
      <c r="I145" t="s">
        <v>85</v>
      </c>
      <c r="J145">
        <v>4</v>
      </c>
      <c r="K145" t="str">
        <f>HYPERLINK("Gene669-zp_tree_all.dnd", "Gene669-tree")</f>
        <v>Gene669-tree</v>
      </c>
      <c r="L145">
        <v>2</v>
      </c>
      <c r="M145">
        <v>2</v>
      </c>
      <c r="N145">
        <v>2</v>
      </c>
      <c r="O145">
        <v>2</v>
      </c>
      <c r="P145">
        <v>0.5</v>
      </c>
      <c r="Q145" t="s">
        <v>124</v>
      </c>
      <c r="R145" t="s">
        <v>124</v>
      </c>
      <c r="S145" t="s">
        <v>66</v>
      </c>
      <c r="T145" t="s">
        <v>66</v>
      </c>
      <c r="U145">
        <v>1</v>
      </c>
      <c r="V145">
        <v>2</v>
      </c>
      <c r="W145">
        <v>14</v>
      </c>
      <c r="X145">
        <v>0.125</v>
      </c>
      <c r="Y145">
        <v>0</v>
      </c>
      <c r="Z145">
        <v>0</v>
      </c>
      <c r="AA145">
        <v>0</v>
      </c>
      <c r="AB145">
        <v>5</v>
      </c>
      <c r="AC145">
        <v>0</v>
      </c>
      <c r="AD145">
        <v>0</v>
      </c>
      <c r="AE145">
        <v>2</v>
      </c>
      <c r="AF145">
        <v>2</v>
      </c>
      <c r="AG145">
        <v>9</v>
      </c>
      <c r="AH145">
        <v>0.18182000000000001</v>
      </c>
      <c r="AI145">
        <v>4</v>
      </c>
      <c r="AJ145">
        <v>1</v>
      </c>
      <c r="AK145">
        <v>33</v>
      </c>
      <c r="AL145">
        <v>11</v>
      </c>
      <c r="AM145">
        <v>3</v>
      </c>
      <c r="AN145">
        <v>5</v>
      </c>
      <c r="AO145" t="s">
        <v>877</v>
      </c>
      <c r="AP145" t="s">
        <v>878</v>
      </c>
      <c r="AQ145">
        <v>2.6080000000000001</v>
      </c>
      <c r="AR145" t="s">
        <v>69</v>
      </c>
      <c r="AS145">
        <v>36</v>
      </c>
      <c r="AT145">
        <v>16</v>
      </c>
      <c r="AU145">
        <v>2.6519999999999998E-2</v>
      </c>
      <c r="AV145">
        <v>-6.0499999999999998E-3</v>
      </c>
      <c r="AW145">
        <v>8.3030000000000007E-2</v>
      </c>
      <c r="AX145">
        <v>-2.0490000000000001E-2</v>
      </c>
      <c r="AY145">
        <v>1.1650000000000001E-2</v>
      </c>
      <c r="AZ145">
        <v>-2.64E-3</v>
      </c>
      <c r="BA145">
        <v>0.14030999999999999</v>
      </c>
      <c r="BB145">
        <v>1</v>
      </c>
      <c r="BC145" t="s">
        <v>70</v>
      </c>
      <c r="BD145">
        <v>-0.153</v>
      </c>
      <c r="BE145">
        <v>-0.54300000000000004</v>
      </c>
      <c r="BF145" t="s">
        <v>71</v>
      </c>
      <c r="BG145">
        <v>0.112087912087912</v>
      </c>
      <c r="BI145">
        <v>52</v>
      </c>
      <c r="BJ145">
        <v>0.14030999999999999</v>
      </c>
      <c r="BK145">
        <v>0.112087912087912</v>
      </c>
    </row>
    <row r="146" spans="1:63">
      <c r="A146">
        <v>670</v>
      </c>
      <c r="B146" t="s">
        <v>879</v>
      </c>
      <c r="D146" t="s">
        <v>60</v>
      </c>
      <c r="E146">
        <v>716431</v>
      </c>
      <c r="F146">
        <v>716742</v>
      </c>
      <c r="G146" t="s">
        <v>74</v>
      </c>
      <c r="H146">
        <v>104</v>
      </c>
      <c r="I146" t="s">
        <v>63</v>
      </c>
      <c r="J146">
        <v>5</v>
      </c>
      <c r="K146" t="str">
        <f>HYPERLINK("Gene670-zp_tree_all.dnd", "Gene670-tree")</f>
        <v>Gene670-tree</v>
      </c>
      <c r="L146">
        <v>5</v>
      </c>
      <c r="M146">
        <v>0</v>
      </c>
      <c r="N146">
        <v>5</v>
      </c>
      <c r="O146">
        <v>0</v>
      </c>
      <c r="P146">
        <v>0</v>
      </c>
      <c r="Q146" t="s">
        <v>96</v>
      </c>
      <c r="R146" t="s">
        <v>66</v>
      </c>
      <c r="S146" t="s">
        <v>66</v>
      </c>
      <c r="T146" t="s">
        <v>66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4</v>
      </c>
      <c r="AJ146">
        <v>1</v>
      </c>
      <c r="AK146">
        <v>8</v>
      </c>
      <c r="AL146">
        <v>0</v>
      </c>
      <c r="AM146">
        <v>6</v>
      </c>
      <c r="AN146">
        <v>0</v>
      </c>
      <c r="AO146" t="s">
        <v>68</v>
      </c>
      <c r="AP146" t="s">
        <v>68</v>
      </c>
      <c r="AQ146">
        <v>0</v>
      </c>
      <c r="AR146" t="s">
        <v>69</v>
      </c>
      <c r="AS146">
        <v>14</v>
      </c>
      <c r="AT146">
        <v>0</v>
      </c>
      <c r="AU146">
        <v>2.051E-2</v>
      </c>
      <c r="AV146">
        <v>-2.98E-3</v>
      </c>
      <c r="AW146">
        <v>9.7199999999999995E-2</v>
      </c>
      <c r="AX146">
        <v>-1.469E-2</v>
      </c>
      <c r="AY146">
        <v>0</v>
      </c>
      <c r="AZ146">
        <v>0</v>
      </c>
      <c r="BA146">
        <v>0</v>
      </c>
      <c r="BB146">
        <v>1</v>
      </c>
      <c r="BC146" t="s">
        <v>70</v>
      </c>
      <c r="BD146">
        <v>0.80400000000000005</v>
      </c>
      <c r="BE146">
        <v>-0.45200000000000001</v>
      </c>
      <c r="BF146" t="s">
        <v>71</v>
      </c>
      <c r="BG146">
        <v>4.22535211267605E-2</v>
      </c>
      <c r="BI146">
        <v>14</v>
      </c>
      <c r="BJ146">
        <v>0</v>
      </c>
      <c r="BK146">
        <v>4.22535211267605E-2</v>
      </c>
    </row>
    <row r="147" spans="1:63">
      <c r="A147">
        <v>679</v>
      </c>
      <c r="B147" t="s">
        <v>881</v>
      </c>
      <c r="D147" t="s">
        <v>60</v>
      </c>
      <c r="E147">
        <v>728732</v>
      </c>
      <c r="F147">
        <v>729019</v>
      </c>
      <c r="G147" t="s">
        <v>883</v>
      </c>
      <c r="H147">
        <v>96</v>
      </c>
      <c r="I147" t="s">
        <v>63</v>
      </c>
      <c r="J147">
        <v>5</v>
      </c>
      <c r="K147" t="str">
        <f>HYPERLINK("Gene679-zp_tree_all.dnd", "Gene679-tree")</f>
        <v>Gene679-tree</v>
      </c>
      <c r="L147">
        <v>5</v>
      </c>
      <c r="M147">
        <v>0</v>
      </c>
      <c r="N147">
        <v>4</v>
      </c>
      <c r="O147">
        <v>0</v>
      </c>
      <c r="P147">
        <v>0</v>
      </c>
      <c r="Q147" t="s">
        <v>135</v>
      </c>
      <c r="R147" t="s">
        <v>66</v>
      </c>
      <c r="S147" t="s">
        <v>66</v>
      </c>
      <c r="T147" t="s">
        <v>66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2</v>
      </c>
      <c r="AJ147">
        <v>1</v>
      </c>
      <c r="AK147">
        <v>2</v>
      </c>
      <c r="AL147">
        <v>0</v>
      </c>
      <c r="AM147">
        <v>6</v>
      </c>
      <c r="AN147">
        <v>0</v>
      </c>
      <c r="AO147" t="s">
        <v>68</v>
      </c>
      <c r="AP147" t="s">
        <v>68</v>
      </c>
      <c r="AQ147">
        <v>0</v>
      </c>
      <c r="AR147" t="s">
        <v>69</v>
      </c>
      <c r="AS147">
        <v>8</v>
      </c>
      <c r="AT147">
        <v>0</v>
      </c>
      <c r="AU147">
        <v>1.736E-2</v>
      </c>
      <c r="AV147">
        <v>-4.0899999999999999E-3</v>
      </c>
      <c r="AW147">
        <v>8.7599999999999997E-2</v>
      </c>
      <c r="AX147">
        <v>-2.104E-2</v>
      </c>
      <c r="AY147">
        <v>0</v>
      </c>
      <c r="AZ147">
        <v>0</v>
      </c>
      <c r="BA147">
        <v>0</v>
      </c>
      <c r="BB147">
        <v>1</v>
      </c>
      <c r="BC147" t="s">
        <v>70</v>
      </c>
      <c r="BD147">
        <v>1.028</v>
      </c>
      <c r="BE147">
        <v>1.028</v>
      </c>
      <c r="BF147" t="s">
        <v>71</v>
      </c>
      <c r="BG147">
        <v>0.12195121951219499</v>
      </c>
      <c r="BI147">
        <v>8</v>
      </c>
      <c r="BJ147">
        <v>0</v>
      </c>
      <c r="BK147">
        <v>0.12195121951219499</v>
      </c>
    </row>
    <row r="148" spans="1:63">
      <c r="A148">
        <v>680</v>
      </c>
      <c r="B148" t="s">
        <v>884</v>
      </c>
      <c r="D148" t="s">
        <v>60</v>
      </c>
      <c r="E148">
        <v>729038</v>
      </c>
      <c r="F148">
        <v>730492</v>
      </c>
      <c r="G148" t="s">
        <v>886</v>
      </c>
      <c r="H148">
        <v>485</v>
      </c>
      <c r="I148" t="s">
        <v>63</v>
      </c>
      <c r="J148">
        <v>5</v>
      </c>
      <c r="K148" t="str">
        <f>HYPERLINK("Gene680-zp_tree_all.dnd", "Gene680-tree")</f>
        <v>Gene680-tree</v>
      </c>
      <c r="L148">
        <v>3</v>
      </c>
      <c r="M148">
        <v>2</v>
      </c>
      <c r="N148">
        <v>3</v>
      </c>
      <c r="O148">
        <v>2</v>
      </c>
      <c r="P148">
        <v>0.4</v>
      </c>
      <c r="Q148" t="s">
        <v>86</v>
      </c>
      <c r="R148" t="s">
        <v>124</v>
      </c>
      <c r="S148" t="s">
        <v>66</v>
      </c>
      <c r="T148" t="s">
        <v>66</v>
      </c>
      <c r="U148">
        <v>0</v>
      </c>
      <c r="V148">
        <v>0</v>
      </c>
      <c r="W148">
        <v>3</v>
      </c>
      <c r="X148">
        <v>0</v>
      </c>
      <c r="Y148">
        <v>0</v>
      </c>
      <c r="Z148">
        <v>0</v>
      </c>
      <c r="AA148">
        <v>0</v>
      </c>
      <c r="AB148">
        <v>2</v>
      </c>
      <c r="AC148">
        <v>0</v>
      </c>
      <c r="AD148">
        <v>0</v>
      </c>
      <c r="AE148">
        <v>0</v>
      </c>
      <c r="AF148">
        <v>0</v>
      </c>
      <c r="AG148">
        <v>3</v>
      </c>
      <c r="AH148">
        <v>0</v>
      </c>
      <c r="AI148">
        <v>5</v>
      </c>
      <c r="AJ148">
        <v>2</v>
      </c>
      <c r="AK148">
        <v>56</v>
      </c>
      <c r="AL148">
        <v>3</v>
      </c>
      <c r="AM148">
        <v>40</v>
      </c>
      <c r="AN148">
        <v>1</v>
      </c>
      <c r="AO148" t="s">
        <v>887</v>
      </c>
      <c r="AP148" t="s">
        <v>888</v>
      </c>
      <c r="AQ148">
        <v>0.55800000000000005</v>
      </c>
      <c r="AR148" t="s">
        <v>69</v>
      </c>
      <c r="AS148">
        <v>96</v>
      </c>
      <c r="AT148">
        <v>4</v>
      </c>
      <c r="AU148">
        <v>3.1620000000000002E-2</v>
      </c>
      <c r="AV148">
        <v>-4.3499999999999997E-3</v>
      </c>
      <c r="AW148">
        <v>0.13808999999999999</v>
      </c>
      <c r="AX148">
        <v>-2.0070000000000001E-2</v>
      </c>
      <c r="AY148">
        <v>1.64E-3</v>
      </c>
      <c r="AZ148">
        <v>-3.4000000000000002E-4</v>
      </c>
      <c r="BA148">
        <v>1.189E-2</v>
      </c>
      <c r="BB148">
        <v>1</v>
      </c>
      <c r="BC148" t="s">
        <v>70</v>
      </c>
      <c r="BD148">
        <v>0.40300000000000002</v>
      </c>
      <c r="BE148">
        <v>0.16</v>
      </c>
      <c r="BF148" t="s">
        <v>71</v>
      </c>
      <c r="BG148">
        <v>1.5873015873015799E-2</v>
      </c>
      <c r="BI148">
        <v>100</v>
      </c>
      <c r="BJ148">
        <v>1.189E-2</v>
      </c>
      <c r="BK148">
        <v>1.5873015873015799E-2</v>
      </c>
    </row>
    <row r="149" spans="1:63">
      <c r="A149">
        <v>681</v>
      </c>
      <c r="B149" t="s">
        <v>889</v>
      </c>
      <c r="D149" t="s">
        <v>60</v>
      </c>
      <c r="E149">
        <v>730509</v>
      </c>
      <c r="F149">
        <v>731936</v>
      </c>
      <c r="G149" t="s">
        <v>891</v>
      </c>
      <c r="H149">
        <v>476</v>
      </c>
      <c r="I149" t="s">
        <v>63</v>
      </c>
      <c r="J149">
        <v>5</v>
      </c>
      <c r="K149" t="str">
        <f>HYPERLINK("Gene681-zp_tree_all.dnd", "Gene681-tree")</f>
        <v>Gene681-tree</v>
      </c>
      <c r="L149">
        <v>4</v>
      </c>
      <c r="M149">
        <v>1</v>
      </c>
      <c r="N149">
        <v>4</v>
      </c>
      <c r="O149">
        <v>1</v>
      </c>
      <c r="P149">
        <v>0.2</v>
      </c>
      <c r="Q149" t="s">
        <v>64</v>
      </c>
      <c r="R149" t="s">
        <v>65</v>
      </c>
      <c r="S149" t="s">
        <v>66</v>
      </c>
      <c r="T149" t="s">
        <v>66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5</v>
      </c>
      <c r="AJ149">
        <v>2</v>
      </c>
      <c r="AK149">
        <v>47</v>
      </c>
      <c r="AL149">
        <v>1</v>
      </c>
      <c r="AM149">
        <v>38</v>
      </c>
      <c r="AN149">
        <v>0</v>
      </c>
      <c r="AO149" t="s">
        <v>892</v>
      </c>
      <c r="AP149" t="s">
        <v>68</v>
      </c>
      <c r="AQ149">
        <v>0.53400000000000003</v>
      </c>
      <c r="AR149" t="s">
        <v>69</v>
      </c>
      <c r="AS149">
        <v>85</v>
      </c>
      <c r="AT149">
        <v>1</v>
      </c>
      <c r="AU149">
        <v>2.8709999999999999E-2</v>
      </c>
      <c r="AV149">
        <v>-4.3299999999999996E-3</v>
      </c>
      <c r="AW149">
        <v>0.13922000000000001</v>
      </c>
      <c r="AX149">
        <v>-2.2030000000000001E-2</v>
      </c>
      <c r="AY149">
        <v>3.6000000000000002E-4</v>
      </c>
      <c r="AZ149">
        <v>-1.3999999999999999E-4</v>
      </c>
      <c r="BA149">
        <v>2.6099999999999999E-3</v>
      </c>
      <c r="BB149">
        <v>1</v>
      </c>
      <c r="BC149" t="s">
        <v>70</v>
      </c>
      <c r="BD149">
        <v>0.221</v>
      </c>
      <c r="BE149">
        <v>0.221</v>
      </c>
      <c r="BF149" t="s">
        <v>71</v>
      </c>
      <c r="BG149">
        <v>2.09580838323353E-2</v>
      </c>
      <c r="BI149">
        <v>86</v>
      </c>
      <c r="BJ149">
        <v>2.6099999999999999E-3</v>
      </c>
      <c r="BK149">
        <v>2.09580838323353E-2</v>
      </c>
    </row>
    <row r="150" spans="1:63">
      <c r="A150">
        <v>684</v>
      </c>
      <c r="B150" t="s">
        <v>893</v>
      </c>
      <c r="D150" t="s">
        <v>60</v>
      </c>
      <c r="E150">
        <v>736436</v>
      </c>
      <c r="F150">
        <v>737344</v>
      </c>
      <c r="G150" t="s">
        <v>895</v>
      </c>
      <c r="H150">
        <v>303</v>
      </c>
      <c r="I150" t="s">
        <v>63</v>
      </c>
      <c r="J150">
        <v>5</v>
      </c>
      <c r="K150" t="str">
        <f>HYPERLINK("Gene684-zp_tree_all.dnd", "Gene684-tree")</f>
        <v>Gene684-tree</v>
      </c>
      <c r="L150">
        <v>4</v>
      </c>
      <c r="M150">
        <v>1</v>
      </c>
      <c r="N150">
        <v>4</v>
      </c>
      <c r="O150">
        <v>1</v>
      </c>
      <c r="P150">
        <v>0.2</v>
      </c>
      <c r="Q150" t="s">
        <v>64</v>
      </c>
      <c r="R150" t="s">
        <v>65</v>
      </c>
      <c r="S150" t="s">
        <v>66</v>
      </c>
      <c r="T150" t="s">
        <v>66</v>
      </c>
      <c r="U150">
        <v>0</v>
      </c>
      <c r="V150">
        <v>0</v>
      </c>
      <c r="W150">
        <v>3</v>
      </c>
      <c r="X150">
        <v>0</v>
      </c>
      <c r="Y150">
        <v>0</v>
      </c>
      <c r="Z150">
        <v>0</v>
      </c>
      <c r="AA150">
        <v>0</v>
      </c>
      <c r="AB150">
        <v>2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5</v>
      </c>
      <c r="AJ150">
        <v>2</v>
      </c>
      <c r="AK150">
        <v>58</v>
      </c>
      <c r="AL150">
        <v>1</v>
      </c>
      <c r="AM150">
        <v>13</v>
      </c>
      <c r="AN150">
        <v>3</v>
      </c>
      <c r="AO150" t="s">
        <v>896</v>
      </c>
      <c r="AP150" t="s">
        <v>897</v>
      </c>
      <c r="AQ150">
        <v>0.998</v>
      </c>
      <c r="AR150" t="s">
        <v>69</v>
      </c>
      <c r="AS150">
        <v>71</v>
      </c>
      <c r="AT150">
        <v>4</v>
      </c>
      <c r="AU150">
        <v>3.2120000000000003E-2</v>
      </c>
      <c r="AV150">
        <v>-2.8600000000000001E-3</v>
      </c>
      <c r="AW150">
        <v>0.13525999999999999</v>
      </c>
      <c r="AX150">
        <v>-1.217E-2</v>
      </c>
      <c r="AY150">
        <v>3.49E-3</v>
      </c>
      <c r="AZ150">
        <v>-6.6E-4</v>
      </c>
      <c r="BA150">
        <v>2.5760000000000002E-2</v>
      </c>
      <c r="BB150">
        <v>1</v>
      </c>
      <c r="BC150" t="s">
        <v>70</v>
      </c>
      <c r="BD150">
        <v>0.36899999999999999</v>
      </c>
      <c r="BE150">
        <v>-0.22800000000000001</v>
      </c>
      <c r="BF150" t="s">
        <v>71</v>
      </c>
      <c r="BG150">
        <v>3.64025695931477E-2</v>
      </c>
      <c r="BI150">
        <v>75</v>
      </c>
      <c r="BJ150">
        <v>2.5760000000000002E-2</v>
      </c>
      <c r="BK150">
        <v>3.64025695931477E-2</v>
      </c>
    </row>
    <row r="151" spans="1:63">
      <c r="A151">
        <v>705</v>
      </c>
      <c r="B151" t="s">
        <v>904</v>
      </c>
      <c r="D151" t="s">
        <v>60</v>
      </c>
      <c r="E151">
        <v>756417</v>
      </c>
      <c r="F151">
        <v>756983</v>
      </c>
      <c r="G151" t="s">
        <v>906</v>
      </c>
      <c r="H151">
        <v>189</v>
      </c>
      <c r="I151" t="s">
        <v>63</v>
      </c>
      <c r="J151">
        <v>5</v>
      </c>
      <c r="K151" t="str">
        <f>HYPERLINK("Gene705-zp_tree_all.dnd", "Gene705-tree")</f>
        <v>Gene705-tree</v>
      </c>
      <c r="L151">
        <v>5</v>
      </c>
      <c r="M151">
        <v>0</v>
      </c>
      <c r="N151">
        <v>5</v>
      </c>
      <c r="O151">
        <v>0</v>
      </c>
      <c r="P151">
        <v>0</v>
      </c>
      <c r="Q151" t="s">
        <v>96</v>
      </c>
      <c r="R151" t="s">
        <v>66</v>
      </c>
      <c r="S151" t="s">
        <v>66</v>
      </c>
      <c r="T151" t="s">
        <v>66</v>
      </c>
      <c r="U151">
        <v>0</v>
      </c>
      <c r="V151">
        <v>0</v>
      </c>
      <c r="W151">
        <v>2</v>
      </c>
      <c r="X151">
        <v>0</v>
      </c>
      <c r="Y151">
        <v>0</v>
      </c>
      <c r="Z151">
        <v>0</v>
      </c>
      <c r="AA151">
        <v>0</v>
      </c>
      <c r="AB151">
        <v>2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5</v>
      </c>
      <c r="AJ151">
        <v>2</v>
      </c>
      <c r="AK151">
        <v>19</v>
      </c>
      <c r="AL151">
        <v>0</v>
      </c>
      <c r="AM151">
        <v>19</v>
      </c>
      <c r="AN151">
        <v>2</v>
      </c>
      <c r="AO151" t="s">
        <v>68</v>
      </c>
      <c r="AP151" t="s">
        <v>907</v>
      </c>
      <c r="AQ151">
        <v>0.85799999999999998</v>
      </c>
      <c r="AR151" t="s">
        <v>69</v>
      </c>
      <c r="AS151">
        <v>38</v>
      </c>
      <c r="AT151">
        <v>2</v>
      </c>
      <c r="AU151">
        <v>3.3860000000000001E-2</v>
      </c>
      <c r="AV151">
        <v>-5.8599999999999998E-3</v>
      </c>
      <c r="AW151">
        <v>0.15794</v>
      </c>
      <c r="AX151">
        <v>-2.7709999999999999E-2</v>
      </c>
      <c r="AY151">
        <v>2.7599999999999999E-3</v>
      </c>
      <c r="AZ151">
        <v>-6.6E-4</v>
      </c>
      <c r="BA151">
        <v>1.745E-2</v>
      </c>
      <c r="BB151">
        <v>1</v>
      </c>
      <c r="BC151" t="s">
        <v>70</v>
      </c>
      <c r="BD151">
        <v>1.0720000000000001</v>
      </c>
      <c r="BE151">
        <v>0.53600000000000003</v>
      </c>
      <c r="BF151" t="s">
        <v>71</v>
      </c>
      <c r="BG151">
        <v>0.14388489208633001</v>
      </c>
      <c r="BI151">
        <v>40</v>
      </c>
      <c r="BJ151">
        <v>1.745E-2</v>
      </c>
      <c r="BK151">
        <v>0.14388489208633001</v>
      </c>
    </row>
    <row r="152" spans="1:63">
      <c r="A152">
        <v>712</v>
      </c>
      <c r="B152" t="s">
        <v>908</v>
      </c>
      <c r="D152" t="s">
        <v>60</v>
      </c>
      <c r="E152">
        <v>762942</v>
      </c>
      <c r="F152">
        <v>763868</v>
      </c>
      <c r="G152" t="s">
        <v>657</v>
      </c>
      <c r="H152">
        <v>309</v>
      </c>
      <c r="I152" t="s">
        <v>85</v>
      </c>
      <c r="J152">
        <v>4</v>
      </c>
      <c r="K152" t="str">
        <f>HYPERLINK("Gene712-zp_tree_all.dnd", "Gene712-tree")</f>
        <v>Gene712-tree</v>
      </c>
      <c r="L152">
        <v>3</v>
      </c>
      <c r="M152">
        <v>1</v>
      </c>
      <c r="N152">
        <v>3</v>
      </c>
      <c r="O152">
        <v>1</v>
      </c>
      <c r="P152">
        <v>0.25</v>
      </c>
      <c r="Q152" t="s">
        <v>86</v>
      </c>
      <c r="R152" t="s">
        <v>65</v>
      </c>
      <c r="S152" t="s">
        <v>66</v>
      </c>
      <c r="T152" t="s">
        <v>66</v>
      </c>
      <c r="U152">
        <v>0</v>
      </c>
      <c r="V152">
        <v>0</v>
      </c>
      <c r="W152">
        <v>6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6</v>
      </c>
      <c r="AH152">
        <v>0</v>
      </c>
      <c r="AI152">
        <v>4</v>
      </c>
      <c r="AJ152">
        <v>1</v>
      </c>
      <c r="AK152">
        <v>32</v>
      </c>
      <c r="AL152">
        <v>6</v>
      </c>
      <c r="AM152">
        <v>6</v>
      </c>
      <c r="AN152">
        <v>0</v>
      </c>
      <c r="AO152" t="s">
        <v>910</v>
      </c>
      <c r="AP152" t="s">
        <v>68</v>
      </c>
      <c r="AQ152">
        <v>0.40400000000000003</v>
      </c>
      <c r="AR152" t="s">
        <v>69</v>
      </c>
      <c r="AS152">
        <v>38</v>
      </c>
      <c r="AT152">
        <v>6</v>
      </c>
      <c r="AU152">
        <v>2.4889999999999999E-2</v>
      </c>
      <c r="AV152">
        <v>-7.0400000000000003E-3</v>
      </c>
      <c r="AW152">
        <v>9.5979999999999996E-2</v>
      </c>
      <c r="AX152">
        <v>-2.6030000000000001E-2</v>
      </c>
      <c r="AY152">
        <v>4.79E-3</v>
      </c>
      <c r="AZ152">
        <v>-1.97E-3</v>
      </c>
      <c r="BA152">
        <v>4.9950000000000001E-2</v>
      </c>
      <c r="BB152">
        <v>1</v>
      </c>
      <c r="BC152" t="s">
        <v>70</v>
      </c>
      <c r="BD152">
        <v>-0.433</v>
      </c>
      <c r="BE152">
        <v>-0.433</v>
      </c>
      <c r="BF152" t="s">
        <v>71</v>
      </c>
      <c r="BG152">
        <v>0.108108108108108</v>
      </c>
      <c r="BI152">
        <v>44</v>
      </c>
      <c r="BJ152">
        <v>4.9950000000000001E-2</v>
      </c>
      <c r="BK152">
        <v>0.108108108108108</v>
      </c>
    </row>
    <row r="153" spans="1:63">
      <c r="A153">
        <v>721</v>
      </c>
      <c r="B153" t="s">
        <v>911</v>
      </c>
      <c r="D153" t="s">
        <v>60</v>
      </c>
      <c r="E153">
        <v>774138</v>
      </c>
      <c r="F153">
        <v>774788</v>
      </c>
      <c r="G153" t="s">
        <v>913</v>
      </c>
      <c r="H153">
        <v>217</v>
      </c>
      <c r="I153" t="s">
        <v>63</v>
      </c>
      <c r="J153">
        <v>5</v>
      </c>
      <c r="K153" t="str">
        <f>HYPERLINK("Gene721-zp_tree_all.dnd", "Gene721-tree")</f>
        <v>Gene721-tree</v>
      </c>
      <c r="L153">
        <v>1</v>
      </c>
      <c r="M153">
        <v>4</v>
      </c>
      <c r="N153">
        <v>1</v>
      </c>
      <c r="O153">
        <v>4</v>
      </c>
      <c r="P153">
        <v>0.8</v>
      </c>
      <c r="Q153" t="s">
        <v>65</v>
      </c>
      <c r="R153" t="s">
        <v>64</v>
      </c>
      <c r="S153" t="s">
        <v>66</v>
      </c>
      <c r="T153" t="s">
        <v>66</v>
      </c>
      <c r="U153">
        <v>1</v>
      </c>
      <c r="V153">
        <v>2</v>
      </c>
      <c r="W153">
        <v>9</v>
      </c>
      <c r="X153">
        <v>0.18182000000000001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2</v>
      </c>
      <c r="AF153">
        <v>2</v>
      </c>
      <c r="AG153">
        <v>9</v>
      </c>
      <c r="AH153">
        <v>0.18182000000000001</v>
      </c>
      <c r="AI153">
        <v>5</v>
      </c>
      <c r="AJ153">
        <v>2</v>
      </c>
      <c r="AK153">
        <v>32</v>
      </c>
      <c r="AL153">
        <v>10</v>
      </c>
      <c r="AM153">
        <v>21</v>
      </c>
      <c r="AN153">
        <v>1</v>
      </c>
      <c r="AO153" t="s">
        <v>914</v>
      </c>
      <c r="AP153" t="s">
        <v>915</v>
      </c>
      <c r="AQ153">
        <v>2.339</v>
      </c>
      <c r="AR153" t="s">
        <v>239</v>
      </c>
      <c r="AS153">
        <v>53</v>
      </c>
      <c r="AT153">
        <v>11</v>
      </c>
      <c r="AU153">
        <v>4.5370000000000001E-2</v>
      </c>
      <c r="AV153">
        <v>-4.8399999999999997E-3</v>
      </c>
      <c r="AW153">
        <v>0.19839000000000001</v>
      </c>
      <c r="AX153">
        <v>-2.4709999999999999E-2</v>
      </c>
      <c r="AY153">
        <v>9.2099999999999994E-3</v>
      </c>
      <c r="AZ153">
        <v>-9.5E-4</v>
      </c>
      <c r="BA153">
        <v>4.641E-2</v>
      </c>
      <c r="BB153">
        <v>1</v>
      </c>
      <c r="BC153" t="s">
        <v>70</v>
      </c>
      <c r="BD153">
        <v>-9.1999999999999998E-2</v>
      </c>
      <c r="BE153">
        <v>-0.193</v>
      </c>
      <c r="BF153" t="s">
        <v>71</v>
      </c>
      <c r="BG153">
        <v>0.10032362459546899</v>
      </c>
      <c r="BI153">
        <v>64</v>
      </c>
      <c r="BJ153">
        <v>4.641E-2</v>
      </c>
      <c r="BK153">
        <v>0.10032362459546899</v>
      </c>
    </row>
    <row r="154" spans="1:63">
      <c r="A154">
        <v>724</v>
      </c>
      <c r="B154" t="s">
        <v>916</v>
      </c>
      <c r="D154" t="s">
        <v>60</v>
      </c>
      <c r="E154">
        <v>779529</v>
      </c>
      <c r="F154">
        <v>781034</v>
      </c>
      <c r="G154" t="s">
        <v>818</v>
      </c>
      <c r="H154">
        <v>502</v>
      </c>
      <c r="I154" t="s">
        <v>63</v>
      </c>
      <c r="J154">
        <v>5</v>
      </c>
      <c r="K154" t="str">
        <f>HYPERLINK("Gene724-zp_tree_all.dnd", "Gene724-tree")</f>
        <v>Gene724-tree</v>
      </c>
      <c r="L154">
        <v>0</v>
      </c>
      <c r="M154">
        <v>5</v>
      </c>
      <c r="N154">
        <v>0</v>
      </c>
      <c r="O154">
        <v>5</v>
      </c>
      <c r="P154">
        <v>1</v>
      </c>
      <c r="Q154" t="s">
        <v>66</v>
      </c>
      <c r="R154" t="s">
        <v>96</v>
      </c>
      <c r="S154" t="s">
        <v>66</v>
      </c>
      <c r="T154" t="s">
        <v>66</v>
      </c>
      <c r="U154">
        <v>0</v>
      </c>
      <c r="V154">
        <v>0</v>
      </c>
      <c r="W154">
        <v>22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22</v>
      </c>
      <c r="AH154">
        <v>0</v>
      </c>
      <c r="AI154">
        <v>4</v>
      </c>
      <c r="AJ154">
        <v>2</v>
      </c>
      <c r="AK154">
        <v>29</v>
      </c>
      <c r="AL154">
        <v>10</v>
      </c>
      <c r="AM154">
        <v>37</v>
      </c>
      <c r="AN154">
        <v>12</v>
      </c>
      <c r="AO154" t="s">
        <v>918</v>
      </c>
      <c r="AP154" t="s">
        <v>919</v>
      </c>
      <c r="AQ154">
        <v>0.13100000000000001</v>
      </c>
      <c r="AR154" t="s">
        <v>69</v>
      </c>
      <c r="AS154">
        <v>66</v>
      </c>
      <c r="AT154">
        <v>22</v>
      </c>
      <c r="AU154">
        <v>2.9420000000000002E-2</v>
      </c>
      <c r="AV154">
        <v>-4.8500000000000001E-3</v>
      </c>
      <c r="AW154">
        <v>0.11252</v>
      </c>
      <c r="AX154">
        <v>-1.915E-2</v>
      </c>
      <c r="AY154">
        <v>9.5499999999999995E-3</v>
      </c>
      <c r="AZ154">
        <v>-1.6100000000000001E-3</v>
      </c>
      <c r="BA154">
        <v>8.4860000000000005E-2</v>
      </c>
      <c r="BB154">
        <v>1</v>
      </c>
      <c r="BC154" t="s">
        <v>70</v>
      </c>
      <c r="BD154">
        <v>0.55500000000000005</v>
      </c>
      <c r="BE154">
        <v>0.39</v>
      </c>
      <c r="BF154" t="s">
        <v>71</v>
      </c>
      <c r="BG154">
        <v>0.102158273381294</v>
      </c>
      <c r="BI154">
        <v>88</v>
      </c>
      <c r="BJ154">
        <v>8.4860000000000005E-2</v>
      </c>
      <c r="BK154">
        <v>0.102158273381294</v>
      </c>
    </row>
    <row r="155" spans="1:63">
      <c r="A155">
        <v>725</v>
      </c>
      <c r="B155" t="s">
        <v>920</v>
      </c>
      <c r="D155" t="s">
        <v>60</v>
      </c>
      <c r="E155">
        <v>781092</v>
      </c>
      <c r="F155">
        <v>782045</v>
      </c>
      <c r="G155" t="s">
        <v>922</v>
      </c>
      <c r="H155">
        <v>318</v>
      </c>
      <c r="I155" t="s">
        <v>85</v>
      </c>
      <c r="J155">
        <v>4</v>
      </c>
      <c r="K155" t="str">
        <f>HYPERLINK("Gene725-zp_tree_all.dnd", "Gene725-tree")</f>
        <v>Gene725-tree</v>
      </c>
      <c r="L155">
        <v>0</v>
      </c>
      <c r="M155">
        <v>4</v>
      </c>
      <c r="N155">
        <v>0</v>
      </c>
      <c r="O155">
        <v>4</v>
      </c>
      <c r="P155">
        <v>1</v>
      </c>
      <c r="Q155" t="s">
        <v>66</v>
      </c>
      <c r="R155" t="s">
        <v>64</v>
      </c>
      <c r="S155" t="s">
        <v>66</v>
      </c>
      <c r="T155" t="s">
        <v>66</v>
      </c>
      <c r="U155">
        <v>0</v>
      </c>
      <c r="V155">
        <v>0</v>
      </c>
      <c r="W155">
        <v>6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6</v>
      </c>
      <c r="AH155">
        <v>0</v>
      </c>
      <c r="AI155">
        <v>4</v>
      </c>
      <c r="AJ155">
        <v>1</v>
      </c>
      <c r="AK155">
        <v>45</v>
      </c>
      <c r="AL155">
        <v>5</v>
      </c>
      <c r="AM155">
        <v>5</v>
      </c>
      <c r="AN155">
        <v>1</v>
      </c>
      <c r="AO155" t="s">
        <v>923</v>
      </c>
      <c r="AP155" t="s">
        <v>924</v>
      </c>
      <c r="AQ155">
        <v>0.98099999999999998</v>
      </c>
      <c r="AR155" t="s">
        <v>69</v>
      </c>
      <c r="AS155">
        <v>50</v>
      </c>
      <c r="AT155">
        <v>6</v>
      </c>
      <c r="AU155">
        <v>3.022E-2</v>
      </c>
      <c r="AV155">
        <v>-7.3600000000000002E-3</v>
      </c>
      <c r="AW155">
        <v>0.13521</v>
      </c>
      <c r="AX155">
        <v>-3.8730000000000001E-2</v>
      </c>
      <c r="AY155">
        <v>4.3099999999999996E-3</v>
      </c>
      <c r="AZ155">
        <v>-3.8000000000000002E-4</v>
      </c>
      <c r="BA155">
        <v>3.184E-2</v>
      </c>
      <c r="BB155">
        <v>1</v>
      </c>
      <c r="BC155" t="s">
        <v>70</v>
      </c>
      <c r="BD155">
        <v>-0.40500000000000003</v>
      </c>
      <c r="BE155">
        <v>-0.57899999999999996</v>
      </c>
      <c r="BF155" t="s">
        <v>71</v>
      </c>
      <c r="BG155">
        <v>0.12903225806451599</v>
      </c>
      <c r="BI155">
        <v>56</v>
      </c>
      <c r="BJ155">
        <v>3.184E-2</v>
      </c>
      <c r="BK155">
        <v>0.12903225806451599</v>
      </c>
    </row>
    <row r="156" spans="1:63">
      <c r="A156">
        <v>726</v>
      </c>
      <c r="B156" t="s">
        <v>925</v>
      </c>
      <c r="D156" t="s">
        <v>60</v>
      </c>
      <c r="E156">
        <v>782062</v>
      </c>
      <c r="F156">
        <v>782946</v>
      </c>
      <c r="G156" t="s">
        <v>927</v>
      </c>
      <c r="H156">
        <v>295</v>
      </c>
      <c r="I156" t="s">
        <v>85</v>
      </c>
      <c r="J156">
        <v>4</v>
      </c>
      <c r="K156" t="str">
        <f>HYPERLINK("Gene726-zp_tree_all.dnd", "Gene726-tree")</f>
        <v>Gene726-tree</v>
      </c>
      <c r="L156">
        <v>3</v>
      </c>
      <c r="M156">
        <v>1</v>
      </c>
      <c r="N156">
        <v>3</v>
      </c>
      <c r="O156">
        <v>1</v>
      </c>
      <c r="P156">
        <v>0.25</v>
      </c>
      <c r="Q156" t="s">
        <v>86</v>
      </c>
      <c r="R156" t="s">
        <v>65</v>
      </c>
      <c r="S156" t="s">
        <v>66</v>
      </c>
      <c r="T156" t="s">
        <v>66</v>
      </c>
      <c r="U156">
        <v>0</v>
      </c>
      <c r="V156">
        <v>0</v>
      </c>
      <c r="W156">
        <v>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</v>
      </c>
      <c r="AH156">
        <v>0</v>
      </c>
      <c r="AI156">
        <v>4</v>
      </c>
      <c r="AJ156">
        <v>1</v>
      </c>
      <c r="AK156">
        <v>53</v>
      </c>
      <c r="AL156">
        <v>2</v>
      </c>
      <c r="AM156">
        <v>5</v>
      </c>
      <c r="AN156">
        <v>0</v>
      </c>
      <c r="AO156" t="s">
        <v>928</v>
      </c>
      <c r="AP156" t="s">
        <v>68</v>
      </c>
      <c r="AQ156">
        <v>0.48899999999999999</v>
      </c>
      <c r="AR156" t="s">
        <v>69</v>
      </c>
      <c r="AS156">
        <v>58</v>
      </c>
      <c r="AT156">
        <v>2</v>
      </c>
      <c r="AU156">
        <v>3.3329999999999999E-2</v>
      </c>
      <c r="AV156">
        <v>-6.9499999999999996E-3</v>
      </c>
      <c r="AW156">
        <v>0.14924000000000001</v>
      </c>
      <c r="AX156">
        <v>-3.2329999999999998E-2</v>
      </c>
      <c r="AY156">
        <v>1.5E-3</v>
      </c>
      <c r="AZ156">
        <v>-6.0999999999999997E-4</v>
      </c>
      <c r="BA156">
        <v>1.004E-2</v>
      </c>
      <c r="BB156">
        <v>1</v>
      </c>
      <c r="BC156" t="s">
        <v>70</v>
      </c>
      <c r="BD156">
        <v>-0.35699999999999998</v>
      </c>
      <c r="BE156">
        <v>-0.52700000000000002</v>
      </c>
      <c r="BF156" t="s">
        <v>71</v>
      </c>
      <c r="BG156">
        <v>2.1077283372365301E-2</v>
      </c>
      <c r="BI156">
        <v>60</v>
      </c>
      <c r="BJ156">
        <v>1.004E-2</v>
      </c>
      <c r="BK156">
        <v>2.1077283372365301E-2</v>
      </c>
    </row>
    <row r="157" spans="1:63">
      <c r="A157">
        <v>731</v>
      </c>
      <c r="B157" t="s">
        <v>929</v>
      </c>
      <c r="D157" t="s">
        <v>60</v>
      </c>
      <c r="E157">
        <v>787715</v>
      </c>
      <c r="F157">
        <v>787879</v>
      </c>
      <c r="G157" t="s">
        <v>74</v>
      </c>
      <c r="H157">
        <v>55</v>
      </c>
      <c r="I157" t="s">
        <v>63</v>
      </c>
      <c r="J157">
        <v>5</v>
      </c>
      <c r="K157" t="str">
        <f>HYPERLINK("Gene731-zp_tree_all.dnd", "Gene731-tree")</f>
        <v>Gene731-tree</v>
      </c>
      <c r="L157">
        <v>2</v>
      </c>
      <c r="M157">
        <v>3</v>
      </c>
      <c r="N157">
        <v>2</v>
      </c>
      <c r="O157">
        <v>2</v>
      </c>
      <c r="P157">
        <v>0.5</v>
      </c>
      <c r="Q157" t="s">
        <v>124</v>
      </c>
      <c r="R157" t="s">
        <v>185</v>
      </c>
      <c r="S157">
        <v>0.30599999999999999</v>
      </c>
      <c r="T157" t="s">
        <v>69</v>
      </c>
      <c r="U157">
        <v>0</v>
      </c>
      <c r="V157">
        <v>0</v>
      </c>
      <c r="W157">
        <v>3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0</v>
      </c>
      <c r="AI157">
        <v>4</v>
      </c>
      <c r="AJ157">
        <v>1</v>
      </c>
      <c r="AK157">
        <v>8</v>
      </c>
      <c r="AL157">
        <v>2</v>
      </c>
      <c r="AM157">
        <v>1</v>
      </c>
      <c r="AN157">
        <v>1</v>
      </c>
      <c r="AO157" t="s">
        <v>931</v>
      </c>
      <c r="AP157" t="s">
        <v>932</v>
      </c>
      <c r="AQ157">
        <v>5.4669999999999996</v>
      </c>
      <c r="AR157" t="s">
        <v>69</v>
      </c>
      <c r="AS157">
        <v>9</v>
      </c>
      <c r="AT157">
        <v>3</v>
      </c>
      <c r="AU157">
        <v>3.909E-2</v>
      </c>
      <c r="AV157">
        <v>-3.46E-3</v>
      </c>
      <c r="AW157">
        <v>0.14260999999999999</v>
      </c>
      <c r="AX157">
        <v>-1.278E-2</v>
      </c>
      <c r="AY157">
        <v>1.338E-2</v>
      </c>
      <c r="AZ157">
        <v>-2.47E-3</v>
      </c>
      <c r="BA157">
        <v>9.3810000000000004E-2</v>
      </c>
      <c r="BB157">
        <v>1</v>
      </c>
      <c r="BC157" t="s">
        <v>70</v>
      </c>
      <c r="BD157">
        <v>0.05</v>
      </c>
      <c r="BE157">
        <v>0.05</v>
      </c>
      <c r="BF157" t="s">
        <v>71</v>
      </c>
      <c r="BG157">
        <v>6.25E-2</v>
      </c>
      <c r="BI157">
        <v>12</v>
      </c>
      <c r="BJ157">
        <v>9.3810000000000004E-2</v>
      </c>
      <c r="BK157">
        <v>6.25E-2</v>
      </c>
    </row>
    <row r="158" spans="1:63">
      <c r="A158">
        <v>739</v>
      </c>
      <c r="B158" t="s">
        <v>933</v>
      </c>
      <c r="D158" t="s">
        <v>60</v>
      </c>
      <c r="E158">
        <v>798469</v>
      </c>
      <c r="F158">
        <v>799230</v>
      </c>
      <c r="G158" t="s">
        <v>935</v>
      </c>
      <c r="H158">
        <v>254</v>
      </c>
      <c r="I158" t="s">
        <v>63</v>
      </c>
      <c r="J158">
        <v>5</v>
      </c>
      <c r="K158" t="str">
        <f>HYPERLINK("Gene739-zp_tree_all.dnd", "Gene739-tree")</f>
        <v>Gene739-tree</v>
      </c>
      <c r="L158">
        <v>1</v>
      </c>
      <c r="M158">
        <v>4</v>
      </c>
      <c r="N158">
        <v>1</v>
      </c>
      <c r="O158">
        <v>3</v>
      </c>
      <c r="P158">
        <v>0.75</v>
      </c>
      <c r="Q158" t="s">
        <v>65</v>
      </c>
      <c r="R158" t="s">
        <v>112</v>
      </c>
      <c r="S158">
        <v>5</v>
      </c>
      <c r="T158" t="s">
        <v>239</v>
      </c>
      <c r="U158">
        <v>0</v>
      </c>
      <c r="V158">
        <v>0</v>
      </c>
      <c r="W158">
        <v>8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8</v>
      </c>
      <c r="AH158">
        <v>0</v>
      </c>
      <c r="AI158">
        <v>4</v>
      </c>
      <c r="AJ158">
        <v>1</v>
      </c>
      <c r="AK158">
        <v>31</v>
      </c>
      <c r="AL158">
        <v>7</v>
      </c>
      <c r="AM158">
        <v>4</v>
      </c>
      <c r="AN158">
        <v>1</v>
      </c>
      <c r="AO158" t="s">
        <v>936</v>
      </c>
      <c r="AP158" t="s">
        <v>937</v>
      </c>
      <c r="AQ158">
        <v>0.32200000000000001</v>
      </c>
      <c r="AR158" t="s">
        <v>69</v>
      </c>
      <c r="AS158">
        <v>35</v>
      </c>
      <c r="AT158">
        <v>8</v>
      </c>
      <c r="AU158">
        <v>2.843E-2</v>
      </c>
      <c r="AV158">
        <v>-3.7699999999999999E-3</v>
      </c>
      <c r="AW158">
        <v>0.11309</v>
      </c>
      <c r="AX158">
        <v>-1.7559999999999999E-2</v>
      </c>
      <c r="AY158">
        <v>7.0600000000000003E-3</v>
      </c>
      <c r="AZ158">
        <v>-9.3000000000000005E-4</v>
      </c>
      <c r="BA158">
        <v>6.2390000000000001E-2</v>
      </c>
      <c r="BB158">
        <v>1</v>
      </c>
      <c r="BC158" t="s">
        <v>70</v>
      </c>
      <c r="BD158">
        <v>0.58099999999999996</v>
      </c>
      <c r="BE158">
        <v>0.42799999999999999</v>
      </c>
      <c r="BF158" t="s">
        <v>71</v>
      </c>
      <c r="BG158">
        <v>0.126436781609195</v>
      </c>
      <c r="BI158">
        <v>43</v>
      </c>
      <c r="BJ158">
        <v>6.2390000000000001E-2</v>
      </c>
      <c r="BK158">
        <v>0.126436781609195</v>
      </c>
    </row>
    <row r="159" spans="1:63">
      <c r="A159">
        <v>751</v>
      </c>
      <c r="B159" t="s">
        <v>938</v>
      </c>
      <c r="D159" t="s">
        <v>60</v>
      </c>
      <c r="E159">
        <v>812140</v>
      </c>
      <c r="F159">
        <v>812559</v>
      </c>
      <c r="G159" t="s">
        <v>940</v>
      </c>
      <c r="H159">
        <v>140</v>
      </c>
      <c r="I159" t="s">
        <v>63</v>
      </c>
      <c r="J159">
        <v>5</v>
      </c>
      <c r="K159" t="str">
        <f>HYPERLINK("Gene751-zp_tree_all.dnd", "Gene751-tree")</f>
        <v>Gene751-tree</v>
      </c>
      <c r="L159">
        <v>4</v>
      </c>
      <c r="M159">
        <v>1</v>
      </c>
      <c r="N159">
        <v>3</v>
      </c>
      <c r="O159">
        <v>1</v>
      </c>
      <c r="P159">
        <v>0.25</v>
      </c>
      <c r="Q159" t="s">
        <v>112</v>
      </c>
      <c r="R159" t="s">
        <v>65</v>
      </c>
      <c r="S159" t="s">
        <v>66</v>
      </c>
      <c r="T159" t="s">
        <v>66</v>
      </c>
      <c r="U159">
        <v>0</v>
      </c>
      <c r="V159">
        <v>0</v>
      </c>
      <c r="W159">
        <v>2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4</v>
      </c>
      <c r="AJ159">
        <v>1</v>
      </c>
      <c r="AK159">
        <v>7</v>
      </c>
      <c r="AL159">
        <v>2</v>
      </c>
      <c r="AM159">
        <v>5</v>
      </c>
      <c r="AN159">
        <v>1</v>
      </c>
      <c r="AO159" t="s">
        <v>941</v>
      </c>
      <c r="AP159" t="s">
        <v>942</v>
      </c>
      <c r="AQ159">
        <v>0.186</v>
      </c>
      <c r="AR159" t="s">
        <v>69</v>
      </c>
      <c r="AS159">
        <v>12</v>
      </c>
      <c r="AT159">
        <v>3</v>
      </c>
      <c r="AU159">
        <v>2.0240000000000001E-2</v>
      </c>
      <c r="AV159">
        <v>-2.7899999999999999E-3</v>
      </c>
      <c r="AW159">
        <v>8.2559999999999995E-2</v>
      </c>
      <c r="AX159">
        <v>-1.362E-2</v>
      </c>
      <c r="AY159">
        <v>5.0499999999999998E-3</v>
      </c>
      <c r="AZ159">
        <v>-1.3699999999999999E-3</v>
      </c>
      <c r="BA159">
        <v>6.1129999999999997E-2</v>
      </c>
      <c r="BB159">
        <v>1</v>
      </c>
      <c r="BC159" t="s">
        <v>70</v>
      </c>
      <c r="BD159">
        <v>0.40600000000000003</v>
      </c>
      <c r="BE159">
        <v>0.40600000000000003</v>
      </c>
      <c r="BF159" t="s">
        <v>71</v>
      </c>
      <c r="BG159">
        <v>0.17171717171717099</v>
      </c>
      <c r="BI159">
        <v>15</v>
      </c>
      <c r="BJ159">
        <v>6.1129999999999997E-2</v>
      </c>
      <c r="BK159">
        <v>0.17171717171717099</v>
      </c>
    </row>
    <row r="160" spans="1:63">
      <c r="A160">
        <v>768</v>
      </c>
      <c r="B160" t="s">
        <v>948</v>
      </c>
      <c r="D160" t="s">
        <v>60</v>
      </c>
      <c r="E160">
        <v>829382</v>
      </c>
      <c r="F160">
        <v>830815</v>
      </c>
      <c r="G160" t="s">
        <v>950</v>
      </c>
      <c r="H160">
        <v>478</v>
      </c>
      <c r="I160" t="s">
        <v>63</v>
      </c>
      <c r="J160">
        <v>5</v>
      </c>
      <c r="K160" t="str">
        <f>HYPERLINK("Gene768-zp_tree_all.dnd", "Gene768-tree")</f>
        <v>Gene768-tree</v>
      </c>
      <c r="L160">
        <v>3</v>
      </c>
      <c r="M160">
        <v>2</v>
      </c>
      <c r="N160">
        <v>3</v>
      </c>
      <c r="O160">
        <v>2</v>
      </c>
      <c r="P160">
        <v>0.4</v>
      </c>
      <c r="Q160" t="s">
        <v>86</v>
      </c>
      <c r="R160" t="s">
        <v>124</v>
      </c>
      <c r="S160" t="s">
        <v>66</v>
      </c>
      <c r="T160" t="s">
        <v>66</v>
      </c>
      <c r="U160">
        <v>0</v>
      </c>
      <c r="V160">
        <v>0</v>
      </c>
      <c r="W160">
        <v>11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11</v>
      </c>
      <c r="AH160">
        <v>0</v>
      </c>
      <c r="AI160">
        <v>5</v>
      </c>
      <c r="AJ160">
        <v>1</v>
      </c>
      <c r="AK160">
        <v>53</v>
      </c>
      <c r="AL160">
        <v>8</v>
      </c>
      <c r="AM160">
        <v>30</v>
      </c>
      <c r="AN160">
        <v>4</v>
      </c>
      <c r="AO160" t="s">
        <v>951</v>
      </c>
      <c r="AP160" t="s">
        <v>952</v>
      </c>
      <c r="AQ160">
        <v>0.17399999999999999</v>
      </c>
      <c r="AR160" t="s">
        <v>69</v>
      </c>
      <c r="AS160">
        <v>83</v>
      </c>
      <c r="AT160">
        <v>12</v>
      </c>
      <c r="AU160">
        <v>3.0810000000000001E-2</v>
      </c>
      <c r="AV160">
        <v>-4.8700000000000002E-3</v>
      </c>
      <c r="AW160">
        <v>0.12009</v>
      </c>
      <c r="AX160">
        <v>-1.8890000000000001E-2</v>
      </c>
      <c r="AY160">
        <v>5.2300000000000003E-3</v>
      </c>
      <c r="AZ160">
        <v>-1.08E-3</v>
      </c>
      <c r="BA160">
        <v>4.3580000000000001E-2</v>
      </c>
      <c r="BB160">
        <v>1</v>
      </c>
      <c r="BC160" t="s">
        <v>70</v>
      </c>
      <c r="BD160">
        <v>5.2999999999999999E-2</v>
      </c>
      <c r="BE160">
        <v>-0.2</v>
      </c>
      <c r="BF160" t="s">
        <v>71</v>
      </c>
      <c r="BG160">
        <v>3.7821482602117998E-2</v>
      </c>
      <c r="BI160">
        <v>95</v>
      </c>
      <c r="BJ160">
        <v>4.3580000000000001E-2</v>
      </c>
      <c r="BK160">
        <v>3.7821482602117998E-2</v>
      </c>
    </row>
    <row r="161" spans="1:63">
      <c r="A161">
        <v>772</v>
      </c>
      <c r="B161" t="s">
        <v>953</v>
      </c>
      <c r="D161" t="s">
        <v>60</v>
      </c>
      <c r="E161">
        <v>834383</v>
      </c>
      <c r="F161">
        <v>835681</v>
      </c>
      <c r="G161" t="s">
        <v>955</v>
      </c>
      <c r="H161">
        <v>433</v>
      </c>
      <c r="I161" t="s">
        <v>63</v>
      </c>
      <c r="J161">
        <v>5</v>
      </c>
      <c r="K161" t="str">
        <f>HYPERLINK("Gene772-zp_tree_all.dnd", "Gene772-tree")</f>
        <v>Gene772-tree</v>
      </c>
      <c r="L161">
        <v>3</v>
      </c>
      <c r="M161">
        <v>2</v>
      </c>
      <c r="N161">
        <v>3</v>
      </c>
      <c r="O161">
        <v>2</v>
      </c>
      <c r="P161">
        <v>0.4</v>
      </c>
      <c r="Q161" t="s">
        <v>86</v>
      </c>
      <c r="R161" t="s">
        <v>124</v>
      </c>
      <c r="S161" t="s">
        <v>66</v>
      </c>
      <c r="T161" t="s">
        <v>66</v>
      </c>
      <c r="U161">
        <v>0</v>
      </c>
      <c r="V161">
        <v>0</v>
      </c>
      <c r="W161">
        <v>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3</v>
      </c>
      <c r="AH161">
        <v>0</v>
      </c>
      <c r="AI161">
        <v>5</v>
      </c>
      <c r="AJ161">
        <v>2</v>
      </c>
      <c r="AK161">
        <v>46</v>
      </c>
      <c r="AL161">
        <v>3</v>
      </c>
      <c r="AM161">
        <v>44</v>
      </c>
      <c r="AN161">
        <v>0</v>
      </c>
      <c r="AO161" t="s">
        <v>956</v>
      </c>
      <c r="AP161" t="s">
        <v>68</v>
      </c>
      <c r="AQ161">
        <v>0.98299999999999998</v>
      </c>
      <c r="AR161" t="s">
        <v>69</v>
      </c>
      <c r="AS161">
        <v>90</v>
      </c>
      <c r="AT161">
        <v>3</v>
      </c>
      <c r="AU161">
        <v>3.449E-2</v>
      </c>
      <c r="AV161">
        <v>-5.1200000000000004E-3</v>
      </c>
      <c r="AW161">
        <v>0.15348999999999999</v>
      </c>
      <c r="AX161">
        <v>-2.4119999999999999E-2</v>
      </c>
      <c r="AY161">
        <v>1.23E-3</v>
      </c>
      <c r="AZ161">
        <v>-3.2000000000000003E-4</v>
      </c>
      <c r="BA161">
        <v>8.0099999999999998E-3</v>
      </c>
      <c r="BB161">
        <v>1</v>
      </c>
      <c r="BC161" t="s">
        <v>70</v>
      </c>
      <c r="BD161">
        <v>0.37</v>
      </c>
      <c r="BE161">
        <v>0.22800000000000001</v>
      </c>
      <c r="BF161" t="s">
        <v>71</v>
      </c>
      <c r="BG161">
        <v>0.15470494417862801</v>
      </c>
      <c r="BI161">
        <v>93</v>
      </c>
      <c r="BJ161">
        <v>8.0099999999999998E-3</v>
      </c>
      <c r="BK161">
        <v>0.15470494417862801</v>
      </c>
    </row>
    <row r="162" spans="1:63">
      <c r="A162">
        <v>772</v>
      </c>
      <c r="B162" t="s">
        <v>953</v>
      </c>
      <c r="D162" t="s">
        <v>60</v>
      </c>
      <c r="E162">
        <v>834383</v>
      </c>
      <c r="F162">
        <v>835681</v>
      </c>
      <c r="G162" t="s">
        <v>955</v>
      </c>
      <c r="H162">
        <v>433</v>
      </c>
      <c r="I162" t="s">
        <v>63</v>
      </c>
      <c r="J162">
        <v>5</v>
      </c>
      <c r="K162" t="str">
        <f>HYPERLINK("Gene772-zp_tree_all.dnd", "Gene772-tree")</f>
        <v>Gene772-tree</v>
      </c>
      <c r="L162">
        <v>3</v>
      </c>
      <c r="M162">
        <v>2</v>
      </c>
      <c r="N162">
        <v>3</v>
      </c>
      <c r="O162">
        <v>2</v>
      </c>
      <c r="P162">
        <v>0.4</v>
      </c>
      <c r="Q162" t="s">
        <v>86</v>
      </c>
      <c r="R162" t="s">
        <v>124</v>
      </c>
      <c r="S162" t="s">
        <v>66</v>
      </c>
      <c r="T162" t="s">
        <v>66</v>
      </c>
      <c r="U162">
        <v>0</v>
      </c>
      <c r="V162">
        <v>0</v>
      </c>
      <c r="W162">
        <v>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3</v>
      </c>
      <c r="AH162">
        <v>0</v>
      </c>
      <c r="AI162">
        <v>5</v>
      </c>
      <c r="AJ162">
        <v>2</v>
      </c>
      <c r="AK162">
        <v>46</v>
      </c>
      <c r="AL162">
        <v>3</v>
      </c>
      <c r="AM162">
        <v>44</v>
      </c>
      <c r="AN162">
        <v>0</v>
      </c>
      <c r="AO162" t="s">
        <v>956</v>
      </c>
      <c r="AP162" t="s">
        <v>68</v>
      </c>
      <c r="AQ162">
        <v>0.98299999999999998</v>
      </c>
      <c r="AR162" t="s">
        <v>69</v>
      </c>
      <c r="AS162">
        <v>90</v>
      </c>
      <c r="AT162">
        <v>3</v>
      </c>
      <c r="AU162">
        <v>3.449E-2</v>
      </c>
      <c r="AV162">
        <v>-5.1200000000000004E-3</v>
      </c>
      <c r="AW162">
        <v>0.15348999999999999</v>
      </c>
      <c r="AX162">
        <v>-2.4119999999999999E-2</v>
      </c>
      <c r="AY162">
        <v>1.23E-3</v>
      </c>
      <c r="AZ162">
        <v>-3.2000000000000003E-4</v>
      </c>
      <c r="BA162">
        <v>8.0099999999999998E-3</v>
      </c>
      <c r="BB162">
        <v>1</v>
      </c>
      <c r="BC162" t="s">
        <v>70</v>
      </c>
      <c r="BD162">
        <v>0.37</v>
      </c>
      <c r="BE162">
        <v>0.22800000000000001</v>
      </c>
      <c r="BF162" t="s">
        <v>71</v>
      </c>
      <c r="BG162">
        <v>0.15470494417862801</v>
      </c>
      <c r="BI162">
        <v>93</v>
      </c>
      <c r="BJ162">
        <v>8.0099999999999998E-3</v>
      </c>
      <c r="BK162">
        <v>0.15470494417862801</v>
      </c>
    </row>
    <row r="163" spans="1:63">
      <c r="A163">
        <v>806</v>
      </c>
      <c r="B163" t="s">
        <v>970</v>
      </c>
      <c r="D163" t="s">
        <v>60</v>
      </c>
      <c r="E163">
        <v>869273</v>
      </c>
      <c r="F163">
        <v>869455</v>
      </c>
      <c r="G163" t="s">
        <v>74</v>
      </c>
      <c r="H163">
        <v>61</v>
      </c>
      <c r="I163" t="s">
        <v>63</v>
      </c>
      <c r="J163">
        <v>5</v>
      </c>
      <c r="K163" t="str">
        <f>HYPERLINK("Gene806-zp_tree_all.dnd", "Gene806-tree")</f>
        <v>Gene806-tree</v>
      </c>
      <c r="L163">
        <v>5</v>
      </c>
      <c r="M163">
        <v>0</v>
      </c>
      <c r="N163">
        <v>4</v>
      </c>
      <c r="O163">
        <v>0</v>
      </c>
      <c r="P163">
        <v>0</v>
      </c>
      <c r="Q163" t="s">
        <v>135</v>
      </c>
      <c r="R163" t="s">
        <v>66</v>
      </c>
      <c r="S163" t="s">
        <v>66</v>
      </c>
      <c r="T163" t="s">
        <v>66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4</v>
      </c>
      <c r="AJ163">
        <v>1</v>
      </c>
      <c r="AK163">
        <v>7</v>
      </c>
      <c r="AL163">
        <v>0</v>
      </c>
      <c r="AM163">
        <v>2</v>
      </c>
      <c r="AN163">
        <v>0</v>
      </c>
      <c r="AO163" t="s">
        <v>68</v>
      </c>
      <c r="AP163" t="s">
        <v>68</v>
      </c>
      <c r="AQ163">
        <v>0</v>
      </c>
      <c r="AR163" t="s">
        <v>69</v>
      </c>
      <c r="AS163">
        <v>9</v>
      </c>
      <c r="AT163">
        <v>0</v>
      </c>
      <c r="AU163">
        <v>2.4590000000000001E-2</v>
      </c>
      <c r="AV163">
        <v>-2.81E-3</v>
      </c>
      <c r="AW163">
        <v>0.15190000000000001</v>
      </c>
      <c r="AX163">
        <v>-1.8509999999999999E-2</v>
      </c>
      <c r="AY163">
        <v>0</v>
      </c>
      <c r="AZ163">
        <v>0</v>
      </c>
      <c r="BA163">
        <v>0</v>
      </c>
      <c r="BB163">
        <v>1</v>
      </c>
      <c r="BC163" t="s">
        <v>70</v>
      </c>
      <c r="BD163">
        <v>0.66100000000000003</v>
      </c>
      <c r="BE163">
        <v>0.66100000000000003</v>
      </c>
      <c r="BF163" t="s">
        <v>71</v>
      </c>
      <c r="BG163">
        <v>0.12676056338028099</v>
      </c>
      <c r="BI163">
        <v>9</v>
      </c>
      <c r="BJ163">
        <v>0</v>
      </c>
      <c r="BK163">
        <v>0.12676056338028099</v>
      </c>
    </row>
    <row r="164" spans="1:63">
      <c r="A164">
        <v>812</v>
      </c>
      <c r="B164" t="s">
        <v>972</v>
      </c>
      <c r="D164" t="s">
        <v>60</v>
      </c>
      <c r="E164">
        <v>875428</v>
      </c>
      <c r="F164">
        <v>875691</v>
      </c>
      <c r="G164" t="s">
        <v>74</v>
      </c>
      <c r="H164">
        <v>88</v>
      </c>
      <c r="I164" t="s">
        <v>85</v>
      </c>
      <c r="J164">
        <v>4</v>
      </c>
      <c r="K164" t="str">
        <f>HYPERLINK("Gene812-zp_tree_all.dnd", "Gene812-tree")</f>
        <v>Gene812-tree</v>
      </c>
      <c r="L164">
        <v>0</v>
      </c>
      <c r="M164">
        <v>4</v>
      </c>
      <c r="N164">
        <v>0</v>
      </c>
      <c r="O164">
        <v>4</v>
      </c>
      <c r="P164">
        <v>1</v>
      </c>
      <c r="Q164" t="s">
        <v>66</v>
      </c>
      <c r="R164" t="s">
        <v>64</v>
      </c>
      <c r="S164" t="s">
        <v>66</v>
      </c>
      <c r="T164" t="s">
        <v>66</v>
      </c>
      <c r="U164">
        <v>0</v>
      </c>
      <c r="V164">
        <v>0</v>
      </c>
      <c r="W164">
        <v>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0</v>
      </c>
      <c r="AI164">
        <v>3</v>
      </c>
      <c r="AJ164">
        <v>0</v>
      </c>
      <c r="AK164">
        <v>2</v>
      </c>
      <c r="AL164">
        <v>4</v>
      </c>
      <c r="AM164">
        <v>0</v>
      </c>
      <c r="AN164">
        <v>0</v>
      </c>
      <c r="AO164" t="s">
        <v>974</v>
      </c>
      <c r="AP164" t="s">
        <v>68</v>
      </c>
      <c r="AQ164">
        <v>0.81499999999999995</v>
      </c>
      <c r="AR164" t="s">
        <v>69</v>
      </c>
      <c r="AS164">
        <v>2</v>
      </c>
      <c r="AT164">
        <v>4</v>
      </c>
      <c r="AU164">
        <v>1.1900000000000001E-2</v>
      </c>
      <c r="AV164">
        <v>-2.81E-3</v>
      </c>
      <c r="AW164">
        <v>1.9019999999999999E-2</v>
      </c>
      <c r="AX164">
        <v>-7.77E-3</v>
      </c>
      <c r="AY164">
        <v>1.018E-2</v>
      </c>
      <c r="AZ164">
        <v>-1.7099999999999999E-3</v>
      </c>
      <c r="BA164">
        <v>0.53502000000000005</v>
      </c>
      <c r="BB164">
        <v>0.63600000000000001</v>
      </c>
      <c r="BC164" t="s">
        <v>188</v>
      </c>
      <c r="BD164">
        <v>-0.80900000000000005</v>
      </c>
      <c r="BE164">
        <v>-0.80900000000000005</v>
      </c>
      <c r="BF164" t="s">
        <v>71</v>
      </c>
      <c r="BG164">
        <v>0.17333333333333301</v>
      </c>
      <c r="BI164">
        <v>6</v>
      </c>
      <c r="BJ164">
        <v>0.53502000000000005</v>
      </c>
      <c r="BK164">
        <v>0.17333333333333301</v>
      </c>
    </row>
    <row r="165" spans="1:63">
      <c r="A165">
        <v>829</v>
      </c>
      <c r="B165" t="s">
        <v>978</v>
      </c>
      <c r="D165" t="s">
        <v>60</v>
      </c>
      <c r="E165">
        <v>891436</v>
      </c>
      <c r="F165">
        <v>892197</v>
      </c>
      <c r="G165" t="s">
        <v>980</v>
      </c>
      <c r="H165">
        <v>254</v>
      </c>
      <c r="I165" t="s">
        <v>63</v>
      </c>
      <c r="J165">
        <v>5</v>
      </c>
      <c r="K165" t="str">
        <f>HYPERLINK("Gene829-zp_tree_all.dnd", "Gene829-tree")</f>
        <v>Gene829-tree</v>
      </c>
      <c r="L165">
        <v>0</v>
      </c>
      <c r="M165">
        <v>5</v>
      </c>
      <c r="N165">
        <v>0</v>
      </c>
      <c r="O165">
        <v>4</v>
      </c>
      <c r="P165">
        <v>1</v>
      </c>
      <c r="Q165" t="s">
        <v>66</v>
      </c>
      <c r="R165" t="s">
        <v>135</v>
      </c>
      <c r="S165">
        <v>3.1949999999999998</v>
      </c>
      <c r="T165" t="s">
        <v>69</v>
      </c>
      <c r="U165">
        <v>1</v>
      </c>
      <c r="V165">
        <v>2</v>
      </c>
      <c r="W165">
        <v>11</v>
      </c>
      <c r="X165">
        <v>0.15384999999999999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</v>
      </c>
      <c r="AF165">
        <v>2</v>
      </c>
      <c r="AG165">
        <v>11</v>
      </c>
      <c r="AH165">
        <v>0.15384999999999999</v>
      </c>
      <c r="AI165">
        <v>4</v>
      </c>
      <c r="AJ165">
        <v>1</v>
      </c>
      <c r="AK165">
        <v>30</v>
      </c>
      <c r="AL165">
        <v>8</v>
      </c>
      <c r="AM165">
        <v>11</v>
      </c>
      <c r="AN165">
        <v>5</v>
      </c>
      <c r="AO165" t="s">
        <v>981</v>
      </c>
      <c r="AP165" t="s">
        <v>982</v>
      </c>
      <c r="AQ165">
        <v>1.96</v>
      </c>
      <c r="AR165" t="s">
        <v>69</v>
      </c>
      <c r="AS165">
        <v>41</v>
      </c>
      <c r="AT165">
        <v>13</v>
      </c>
      <c r="AU165">
        <v>3.7699999999999997E-2</v>
      </c>
      <c r="AV165">
        <v>-5.0699999999999999E-3</v>
      </c>
      <c r="AW165">
        <v>0.14504</v>
      </c>
      <c r="AX165">
        <v>-2.0500000000000001E-2</v>
      </c>
      <c r="AY165">
        <v>1.247E-2</v>
      </c>
      <c r="AZ165">
        <v>-1.92E-3</v>
      </c>
      <c r="BA165">
        <v>8.5970000000000005E-2</v>
      </c>
      <c r="BB165">
        <v>1</v>
      </c>
      <c r="BC165" t="s">
        <v>70</v>
      </c>
      <c r="BD165">
        <v>0.16800000000000001</v>
      </c>
      <c r="BE165">
        <v>-0.19</v>
      </c>
      <c r="BF165" t="s">
        <v>71</v>
      </c>
      <c r="BG165">
        <v>2.8213166144200601E-2</v>
      </c>
      <c r="BI165">
        <v>54</v>
      </c>
      <c r="BJ165">
        <v>8.5970000000000005E-2</v>
      </c>
      <c r="BK165">
        <v>2.8213166144200601E-2</v>
      </c>
    </row>
    <row r="166" spans="1:63">
      <c r="A166">
        <v>876</v>
      </c>
      <c r="B166" t="s">
        <v>1000</v>
      </c>
      <c r="D166" t="s">
        <v>60</v>
      </c>
      <c r="E166">
        <v>938243</v>
      </c>
      <c r="F166">
        <v>938584</v>
      </c>
      <c r="G166" t="s">
        <v>74</v>
      </c>
      <c r="H166">
        <v>114</v>
      </c>
      <c r="I166" t="s">
        <v>85</v>
      </c>
      <c r="J166">
        <v>4</v>
      </c>
      <c r="K166" t="str">
        <f>HYPERLINK("Gene876-zp_tree_all.dnd", "Gene876-tree")</f>
        <v>Gene876-tree</v>
      </c>
      <c r="L166">
        <v>2</v>
      </c>
      <c r="M166">
        <v>2</v>
      </c>
      <c r="N166">
        <v>2</v>
      </c>
      <c r="O166">
        <v>2</v>
      </c>
      <c r="P166">
        <v>0.5</v>
      </c>
      <c r="Q166" t="s">
        <v>124</v>
      </c>
      <c r="R166" t="s">
        <v>124</v>
      </c>
      <c r="S166" t="s">
        <v>66</v>
      </c>
      <c r="T166" t="s">
        <v>66</v>
      </c>
      <c r="U166">
        <v>1</v>
      </c>
      <c r="V166">
        <v>2</v>
      </c>
      <c r="W166">
        <v>4</v>
      </c>
      <c r="X166">
        <v>0.33333000000000002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</v>
      </c>
      <c r="AF166">
        <v>2</v>
      </c>
      <c r="AG166">
        <v>4</v>
      </c>
      <c r="AH166">
        <v>0.33333000000000002</v>
      </c>
      <c r="AI166">
        <v>2</v>
      </c>
      <c r="AJ166">
        <v>1</v>
      </c>
      <c r="AK166">
        <v>9</v>
      </c>
      <c r="AL166">
        <v>6</v>
      </c>
      <c r="AM166">
        <v>2</v>
      </c>
      <c r="AN166">
        <v>0</v>
      </c>
      <c r="AO166" t="s">
        <v>1002</v>
      </c>
      <c r="AP166" t="s">
        <v>68</v>
      </c>
      <c r="AQ166">
        <v>0.97699999999999998</v>
      </c>
      <c r="AR166" t="s">
        <v>69</v>
      </c>
      <c r="AS166">
        <v>11</v>
      </c>
      <c r="AT166">
        <v>6</v>
      </c>
      <c r="AU166">
        <v>2.5829999999999999E-2</v>
      </c>
      <c r="AV166">
        <v>-8.2500000000000004E-3</v>
      </c>
      <c r="AW166">
        <v>9.5810000000000006E-2</v>
      </c>
      <c r="AX166">
        <v>-3.2039999999999999E-2</v>
      </c>
      <c r="AY166">
        <v>1.051E-2</v>
      </c>
      <c r="AZ166">
        <v>-3.3300000000000001E-3</v>
      </c>
      <c r="BA166">
        <v>0.10975</v>
      </c>
      <c r="BB166">
        <v>1</v>
      </c>
      <c r="BC166" t="s">
        <v>70</v>
      </c>
      <c r="BD166">
        <v>-0.48399999999999999</v>
      </c>
      <c r="BE166">
        <v>-0.48399999999999999</v>
      </c>
      <c r="BF166" t="s">
        <v>71</v>
      </c>
      <c r="BG166">
        <v>0.19480519480519401</v>
      </c>
      <c r="BI166">
        <v>17</v>
      </c>
      <c r="BJ166">
        <v>0.10975</v>
      </c>
      <c r="BK166">
        <v>0.19480519480519401</v>
      </c>
    </row>
    <row r="167" spans="1:63">
      <c r="A167">
        <v>877</v>
      </c>
      <c r="B167" t="s">
        <v>1003</v>
      </c>
      <c r="D167" t="s">
        <v>60</v>
      </c>
      <c r="E167">
        <v>938731</v>
      </c>
      <c r="F167">
        <v>939258</v>
      </c>
      <c r="G167" t="s">
        <v>74</v>
      </c>
      <c r="H167">
        <v>176</v>
      </c>
      <c r="I167" t="s">
        <v>63</v>
      </c>
      <c r="J167">
        <v>5</v>
      </c>
      <c r="K167" t="str">
        <f>HYPERLINK("Gene877-zp_tree_all.dnd", "Gene877-tree")</f>
        <v>Gene877-tree</v>
      </c>
      <c r="L167">
        <v>5</v>
      </c>
      <c r="M167">
        <v>0</v>
      </c>
      <c r="N167">
        <v>4</v>
      </c>
      <c r="O167">
        <v>0</v>
      </c>
      <c r="P167">
        <v>0</v>
      </c>
      <c r="Q167" t="s">
        <v>135</v>
      </c>
      <c r="R167" t="s">
        <v>66</v>
      </c>
      <c r="S167" t="s">
        <v>66</v>
      </c>
      <c r="T167" t="s">
        <v>66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4</v>
      </c>
      <c r="AJ167">
        <v>1</v>
      </c>
      <c r="AK167">
        <v>11</v>
      </c>
      <c r="AL167">
        <v>0</v>
      </c>
      <c r="AM167">
        <v>5</v>
      </c>
      <c r="AN167">
        <v>0</v>
      </c>
      <c r="AO167" t="s">
        <v>68</v>
      </c>
      <c r="AP167" t="s">
        <v>68</v>
      </c>
      <c r="AQ167">
        <v>0</v>
      </c>
      <c r="AR167" t="s">
        <v>69</v>
      </c>
      <c r="AS167">
        <v>16</v>
      </c>
      <c r="AT167">
        <v>0</v>
      </c>
      <c r="AU167">
        <v>1.61E-2</v>
      </c>
      <c r="AV167">
        <v>-2.7799999999999999E-3</v>
      </c>
      <c r="AW167">
        <v>8.1909999999999997E-2</v>
      </c>
      <c r="AX167">
        <v>-1.4880000000000001E-2</v>
      </c>
      <c r="AY167">
        <v>0</v>
      </c>
      <c r="AZ167">
        <v>0</v>
      </c>
      <c r="BA167">
        <v>0</v>
      </c>
      <c r="BB167">
        <v>1</v>
      </c>
      <c r="BC167" t="s">
        <v>70</v>
      </c>
      <c r="BD167">
        <v>0</v>
      </c>
      <c r="BE167">
        <v>0</v>
      </c>
      <c r="BF167" t="s">
        <v>71</v>
      </c>
      <c r="BG167">
        <v>9.0909090909090898E-2</v>
      </c>
      <c r="BI167">
        <v>16</v>
      </c>
      <c r="BJ167">
        <v>0</v>
      </c>
      <c r="BK167">
        <v>9.0909090909090898E-2</v>
      </c>
    </row>
    <row r="168" spans="1:63">
      <c r="A168">
        <v>882</v>
      </c>
      <c r="B168" t="s">
        <v>1009</v>
      </c>
      <c r="D168" t="s">
        <v>60</v>
      </c>
      <c r="E168">
        <v>944487</v>
      </c>
      <c r="F168">
        <v>944921</v>
      </c>
      <c r="G168" t="s">
        <v>1011</v>
      </c>
      <c r="H168">
        <v>145</v>
      </c>
      <c r="I168" t="s">
        <v>63</v>
      </c>
      <c r="J168">
        <v>5</v>
      </c>
      <c r="K168" t="str">
        <f>HYPERLINK("Gene882-zp_tree_all.dnd", "Gene882-tree")</f>
        <v>Gene882-tree</v>
      </c>
      <c r="L168">
        <v>5</v>
      </c>
      <c r="M168">
        <v>0</v>
      </c>
      <c r="N168">
        <v>5</v>
      </c>
      <c r="O168">
        <v>0</v>
      </c>
      <c r="P168">
        <v>0</v>
      </c>
      <c r="Q168" t="s">
        <v>96</v>
      </c>
      <c r="R168" t="s">
        <v>66</v>
      </c>
      <c r="S168" t="s">
        <v>66</v>
      </c>
      <c r="T168" t="s">
        <v>66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4</v>
      </c>
      <c r="AJ168">
        <v>2</v>
      </c>
      <c r="AK168">
        <v>7</v>
      </c>
      <c r="AL168">
        <v>0</v>
      </c>
      <c r="AM168">
        <v>10</v>
      </c>
      <c r="AN168">
        <v>0</v>
      </c>
      <c r="AO168" t="s">
        <v>68</v>
      </c>
      <c r="AP168" t="s">
        <v>68</v>
      </c>
      <c r="AQ168">
        <v>0</v>
      </c>
      <c r="AR168" t="s">
        <v>69</v>
      </c>
      <c r="AS168">
        <v>17</v>
      </c>
      <c r="AT168">
        <v>0</v>
      </c>
      <c r="AU168">
        <v>1.9769999999999999E-2</v>
      </c>
      <c r="AV168">
        <v>-2.8900000000000002E-3</v>
      </c>
      <c r="AW168">
        <v>9.5089999999999994E-2</v>
      </c>
      <c r="AX168">
        <v>-1.4630000000000001E-2</v>
      </c>
      <c r="AY168">
        <v>0</v>
      </c>
      <c r="AZ168">
        <v>0</v>
      </c>
      <c r="BA168">
        <v>0</v>
      </c>
      <c r="BB168">
        <v>1</v>
      </c>
      <c r="BC168" t="s">
        <v>70</v>
      </c>
      <c r="BD168">
        <v>0.878</v>
      </c>
      <c r="BE168">
        <v>0.878</v>
      </c>
      <c r="BF168" t="s">
        <v>71</v>
      </c>
      <c r="BG168">
        <v>0.02</v>
      </c>
      <c r="BI168">
        <v>17</v>
      </c>
      <c r="BJ168">
        <v>0</v>
      </c>
      <c r="BK168">
        <v>0.02</v>
      </c>
    </row>
    <row r="169" spans="1:63">
      <c r="A169">
        <v>898</v>
      </c>
      <c r="B169" t="s">
        <v>407</v>
      </c>
      <c r="D169" t="s">
        <v>60</v>
      </c>
      <c r="E169">
        <v>965909</v>
      </c>
      <c r="F169">
        <v>966175</v>
      </c>
      <c r="G169" t="s">
        <v>409</v>
      </c>
      <c r="H169">
        <v>89</v>
      </c>
      <c r="I169" t="s">
        <v>63</v>
      </c>
      <c r="J169">
        <v>5</v>
      </c>
      <c r="K169" t="str">
        <f>HYPERLINK("Gene898-zp_tree_all.dnd", "Gene898-tree")</f>
        <v>Gene898-tree</v>
      </c>
      <c r="L169">
        <v>3</v>
      </c>
      <c r="M169">
        <v>2</v>
      </c>
      <c r="N169">
        <v>2</v>
      </c>
      <c r="O169">
        <v>2</v>
      </c>
      <c r="P169">
        <v>0.5</v>
      </c>
      <c r="Q169" t="s">
        <v>185</v>
      </c>
      <c r="R169" t="s">
        <v>124</v>
      </c>
      <c r="S169" t="s">
        <v>66</v>
      </c>
      <c r="T169" t="s">
        <v>66</v>
      </c>
      <c r="U169">
        <v>0</v>
      </c>
      <c r="V169">
        <v>0</v>
      </c>
      <c r="W169">
        <v>5</v>
      </c>
      <c r="X169">
        <v>0</v>
      </c>
      <c r="Y169">
        <v>0</v>
      </c>
      <c r="Z169">
        <v>0</v>
      </c>
      <c r="AA169">
        <v>0</v>
      </c>
      <c r="AB169">
        <v>2</v>
      </c>
      <c r="AC169">
        <v>0</v>
      </c>
      <c r="AD169">
        <v>0</v>
      </c>
      <c r="AE169">
        <v>0</v>
      </c>
      <c r="AF169">
        <v>0</v>
      </c>
      <c r="AG169">
        <v>3</v>
      </c>
      <c r="AH169">
        <v>0</v>
      </c>
      <c r="AI169">
        <v>3</v>
      </c>
      <c r="AJ169">
        <v>1</v>
      </c>
      <c r="AK169">
        <v>5</v>
      </c>
      <c r="AL169">
        <v>3</v>
      </c>
      <c r="AM169">
        <v>7</v>
      </c>
      <c r="AN169">
        <v>2</v>
      </c>
      <c r="AO169" t="s">
        <v>1023</v>
      </c>
      <c r="AP169" t="s">
        <v>1024</v>
      </c>
      <c r="AQ169">
        <v>1.2769999999999999</v>
      </c>
      <c r="AR169" t="s">
        <v>69</v>
      </c>
      <c r="AS169">
        <v>12</v>
      </c>
      <c r="AT169">
        <v>5</v>
      </c>
      <c r="AU169">
        <v>3.7879999999999997E-2</v>
      </c>
      <c r="AV169">
        <v>-6.9199999999999999E-3</v>
      </c>
      <c r="AW169">
        <v>0.13739999999999999</v>
      </c>
      <c r="AX169">
        <v>-2.8199999999999999E-2</v>
      </c>
      <c r="AY169">
        <v>1.393E-2</v>
      </c>
      <c r="AZ169">
        <v>-1.3799999999999999E-3</v>
      </c>
      <c r="BA169">
        <v>0.10141</v>
      </c>
      <c r="BB169">
        <v>1</v>
      </c>
      <c r="BC169" t="s">
        <v>70</v>
      </c>
      <c r="BD169">
        <v>0.39600000000000002</v>
      </c>
      <c r="BE169">
        <v>0.39600000000000002</v>
      </c>
      <c r="BF169" t="s">
        <v>71</v>
      </c>
      <c r="BG169">
        <v>0.16279069767441801</v>
      </c>
      <c r="BI169">
        <v>17</v>
      </c>
      <c r="BJ169">
        <v>0.10141</v>
      </c>
      <c r="BK169">
        <v>0.16279069767441801</v>
      </c>
    </row>
    <row r="170" spans="1:63">
      <c r="A170">
        <v>898</v>
      </c>
      <c r="B170" t="s">
        <v>407</v>
      </c>
      <c r="D170" t="s">
        <v>60</v>
      </c>
      <c r="E170">
        <v>965909</v>
      </c>
      <c r="F170">
        <v>966175</v>
      </c>
      <c r="G170" t="s">
        <v>409</v>
      </c>
      <c r="H170">
        <v>89</v>
      </c>
      <c r="I170" t="s">
        <v>63</v>
      </c>
      <c r="J170">
        <v>5</v>
      </c>
      <c r="K170" t="str">
        <f>HYPERLINK("Gene898-zp_tree_all.dnd", "Gene898-tree")</f>
        <v>Gene898-tree</v>
      </c>
      <c r="L170">
        <v>3</v>
      </c>
      <c r="M170">
        <v>2</v>
      </c>
      <c r="N170">
        <v>2</v>
      </c>
      <c r="O170">
        <v>2</v>
      </c>
      <c r="P170">
        <v>0.5</v>
      </c>
      <c r="Q170" t="s">
        <v>185</v>
      </c>
      <c r="R170" t="s">
        <v>124</v>
      </c>
      <c r="S170" t="s">
        <v>66</v>
      </c>
      <c r="T170" t="s">
        <v>66</v>
      </c>
      <c r="U170">
        <v>0</v>
      </c>
      <c r="V170">
        <v>0</v>
      </c>
      <c r="W170">
        <v>5</v>
      </c>
      <c r="X170">
        <v>0</v>
      </c>
      <c r="Y170">
        <v>0</v>
      </c>
      <c r="Z170">
        <v>0</v>
      </c>
      <c r="AA170">
        <v>0</v>
      </c>
      <c r="AB170">
        <v>2</v>
      </c>
      <c r="AC170">
        <v>0</v>
      </c>
      <c r="AD170">
        <v>0</v>
      </c>
      <c r="AE170">
        <v>0</v>
      </c>
      <c r="AF170">
        <v>0</v>
      </c>
      <c r="AG170">
        <v>3</v>
      </c>
      <c r="AH170">
        <v>0</v>
      </c>
      <c r="AI170">
        <v>3</v>
      </c>
      <c r="AJ170">
        <v>1</v>
      </c>
      <c r="AK170">
        <v>5</v>
      </c>
      <c r="AL170">
        <v>3</v>
      </c>
      <c r="AM170">
        <v>7</v>
      </c>
      <c r="AN170">
        <v>2</v>
      </c>
      <c r="AO170" t="s">
        <v>1023</v>
      </c>
      <c r="AP170" t="s">
        <v>1024</v>
      </c>
      <c r="AQ170">
        <v>1.2769999999999999</v>
      </c>
      <c r="AR170" t="s">
        <v>69</v>
      </c>
      <c r="AS170">
        <v>12</v>
      </c>
      <c r="AT170">
        <v>5</v>
      </c>
      <c r="AU170">
        <v>3.7879999999999997E-2</v>
      </c>
      <c r="AV170">
        <v>-6.9199999999999999E-3</v>
      </c>
      <c r="AW170">
        <v>0.13739999999999999</v>
      </c>
      <c r="AX170">
        <v>-2.8199999999999999E-2</v>
      </c>
      <c r="AY170">
        <v>1.393E-2</v>
      </c>
      <c r="AZ170">
        <v>-1.3799999999999999E-3</v>
      </c>
      <c r="BA170">
        <v>0.10141</v>
      </c>
      <c r="BB170">
        <v>1</v>
      </c>
      <c r="BC170" t="s">
        <v>70</v>
      </c>
      <c r="BD170">
        <v>0.39600000000000002</v>
      </c>
      <c r="BE170">
        <v>0.39600000000000002</v>
      </c>
      <c r="BF170" t="s">
        <v>71</v>
      </c>
      <c r="BG170">
        <v>0.16279069767441801</v>
      </c>
      <c r="BI170">
        <v>17</v>
      </c>
      <c r="BJ170">
        <v>0.10141</v>
      </c>
      <c r="BK170">
        <v>0.16279069767441801</v>
      </c>
    </row>
    <row r="171" spans="1:63">
      <c r="A171">
        <v>904</v>
      </c>
      <c r="B171" t="s">
        <v>1028</v>
      </c>
      <c r="D171" t="s">
        <v>60</v>
      </c>
      <c r="E171">
        <v>970135</v>
      </c>
      <c r="F171">
        <v>970614</v>
      </c>
      <c r="G171" t="s">
        <v>1030</v>
      </c>
      <c r="H171">
        <v>160</v>
      </c>
      <c r="I171" t="s">
        <v>63</v>
      </c>
      <c r="J171">
        <v>5</v>
      </c>
      <c r="K171" t="str">
        <f>HYPERLINK("Gene904-zp_tree_all.dnd", "Gene904-tree")</f>
        <v>Gene904-tree</v>
      </c>
      <c r="L171">
        <v>4</v>
      </c>
      <c r="M171">
        <v>1</v>
      </c>
      <c r="N171">
        <v>4</v>
      </c>
      <c r="O171">
        <v>1</v>
      </c>
      <c r="P171">
        <v>0.2</v>
      </c>
      <c r="Q171" t="s">
        <v>64</v>
      </c>
      <c r="R171" t="s">
        <v>65</v>
      </c>
      <c r="S171" t="s">
        <v>66</v>
      </c>
      <c r="T171" t="s">
        <v>66</v>
      </c>
      <c r="U171">
        <v>1</v>
      </c>
      <c r="V171">
        <v>2</v>
      </c>
      <c r="W171">
        <v>2</v>
      </c>
      <c r="X171">
        <v>0.5</v>
      </c>
      <c r="Y171">
        <v>0</v>
      </c>
      <c r="Z171">
        <v>0</v>
      </c>
      <c r="AA171">
        <v>0</v>
      </c>
      <c r="AB171">
        <v>2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0</v>
      </c>
      <c r="AI171">
        <v>5</v>
      </c>
      <c r="AJ171">
        <v>1</v>
      </c>
      <c r="AK171">
        <v>11</v>
      </c>
      <c r="AL171">
        <v>2</v>
      </c>
      <c r="AM171">
        <v>13</v>
      </c>
      <c r="AN171">
        <v>2</v>
      </c>
      <c r="AO171" t="s">
        <v>1031</v>
      </c>
      <c r="AP171" t="s">
        <v>1032</v>
      </c>
      <c r="AQ171">
        <v>0.104</v>
      </c>
      <c r="AR171" t="s">
        <v>69</v>
      </c>
      <c r="AS171">
        <v>24</v>
      </c>
      <c r="AT171">
        <v>4</v>
      </c>
      <c r="AU171">
        <v>2.9170000000000001E-2</v>
      </c>
      <c r="AV171">
        <v>-4.96E-3</v>
      </c>
      <c r="AW171">
        <v>0.12386999999999999</v>
      </c>
      <c r="AX171">
        <v>-2.3189999999999999E-2</v>
      </c>
      <c r="AY171">
        <v>4.8799999999999998E-3</v>
      </c>
      <c r="AZ171">
        <v>-6.8000000000000005E-4</v>
      </c>
      <c r="BA171">
        <v>3.9419999999999997E-2</v>
      </c>
      <c r="BB171">
        <v>1</v>
      </c>
      <c r="BC171" t="s">
        <v>70</v>
      </c>
      <c r="BD171">
        <v>0.59799999999999998</v>
      </c>
      <c r="BE171">
        <v>0.36799999999999999</v>
      </c>
      <c r="BF171" t="s">
        <v>71</v>
      </c>
      <c r="BG171">
        <v>3.03030303030303E-2</v>
      </c>
      <c r="BI171">
        <v>28</v>
      </c>
      <c r="BJ171">
        <v>3.9419999999999997E-2</v>
      </c>
      <c r="BK171">
        <v>3.03030303030303E-2</v>
      </c>
    </row>
    <row r="172" spans="1:63">
      <c r="A172">
        <v>908</v>
      </c>
      <c r="B172" t="s">
        <v>1033</v>
      </c>
      <c r="D172" t="s">
        <v>60</v>
      </c>
      <c r="E172">
        <v>973156</v>
      </c>
      <c r="F172">
        <v>975048</v>
      </c>
      <c r="G172" t="s">
        <v>1035</v>
      </c>
      <c r="H172">
        <v>631</v>
      </c>
      <c r="I172" t="s">
        <v>85</v>
      </c>
      <c r="J172">
        <v>4</v>
      </c>
      <c r="K172" t="str">
        <f>HYPERLINK("Gene908-zp_tree_all.dnd", "Gene908-tree")</f>
        <v>Gene908-tree</v>
      </c>
      <c r="L172">
        <v>0</v>
      </c>
      <c r="M172">
        <v>4</v>
      </c>
      <c r="N172">
        <v>0</v>
      </c>
      <c r="O172">
        <v>4</v>
      </c>
      <c r="P172">
        <v>1</v>
      </c>
      <c r="Q172" t="s">
        <v>66</v>
      </c>
      <c r="R172" t="s">
        <v>64</v>
      </c>
      <c r="S172" t="s">
        <v>66</v>
      </c>
      <c r="T172" t="s">
        <v>66</v>
      </c>
      <c r="U172">
        <v>0</v>
      </c>
      <c r="V172">
        <v>0</v>
      </c>
      <c r="W172">
        <v>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1</v>
      </c>
      <c r="AK172">
        <v>101</v>
      </c>
      <c r="AL172">
        <v>4</v>
      </c>
      <c r="AM172">
        <v>5</v>
      </c>
      <c r="AN172">
        <v>0</v>
      </c>
      <c r="AO172" t="s">
        <v>1036</v>
      </c>
      <c r="AP172" t="s">
        <v>68</v>
      </c>
      <c r="AQ172">
        <v>1.4139999999999999</v>
      </c>
      <c r="AR172" t="s">
        <v>69</v>
      </c>
      <c r="AS172">
        <v>106</v>
      </c>
      <c r="AT172">
        <v>4</v>
      </c>
      <c r="AU172">
        <v>2.8969999999999999E-2</v>
      </c>
      <c r="AV172">
        <v>-7.0899999999999999E-3</v>
      </c>
      <c r="AW172">
        <v>0.14413999999999999</v>
      </c>
      <c r="AX172">
        <v>-3.875E-2</v>
      </c>
      <c r="AY172">
        <v>1.3600000000000001E-3</v>
      </c>
      <c r="AZ172">
        <v>0</v>
      </c>
      <c r="BA172">
        <v>9.4199999999999996E-3</v>
      </c>
      <c r="BB172">
        <v>1</v>
      </c>
      <c r="BC172" t="s">
        <v>70</v>
      </c>
      <c r="BD172">
        <v>-0.63300000000000001</v>
      </c>
      <c r="BE172">
        <v>-0.72299999999999998</v>
      </c>
      <c r="BF172" t="s">
        <v>71</v>
      </c>
      <c r="BG172">
        <v>0.16306954436450799</v>
      </c>
      <c r="BI172">
        <v>110</v>
      </c>
      <c r="BJ172">
        <v>9.4199999999999996E-3</v>
      </c>
      <c r="BK172">
        <v>0.16306954436450799</v>
      </c>
    </row>
    <row r="173" spans="1:63">
      <c r="A173">
        <v>909</v>
      </c>
      <c r="B173" t="s">
        <v>1037</v>
      </c>
      <c r="D173" t="s">
        <v>60</v>
      </c>
      <c r="E173">
        <v>975231</v>
      </c>
      <c r="F173">
        <v>976406</v>
      </c>
      <c r="G173" t="s">
        <v>1039</v>
      </c>
      <c r="H173">
        <v>392</v>
      </c>
      <c r="I173" t="s">
        <v>85</v>
      </c>
      <c r="J173">
        <v>4</v>
      </c>
      <c r="K173" t="str">
        <f>HYPERLINK("Gene909-zp_tree_all.dnd", "Gene909-tree")</f>
        <v>Gene909-tree</v>
      </c>
      <c r="L173">
        <v>3</v>
      </c>
      <c r="M173">
        <v>1</v>
      </c>
      <c r="N173">
        <v>3</v>
      </c>
      <c r="O173">
        <v>1</v>
      </c>
      <c r="P173">
        <v>0.25</v>
      </c>
      <c r="Q173" t="s">
        <v>86</v>
      </c>
      <c r="R173" t="s">
        <v>65</v>
      </c>
      <c r="S173" t="s">
        <v>66</v>
      </c>
      <c r="T173" t="s">
        <v>66</v>
      </c>
      <c r="U173">
        <v>0</v>
      </c>
      <c r="V173">
        <v>0</v>
      </c>
      <c r="W173">
        <v>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3</v>
      </c>
      <c r="AH173">
        <v>0</v>
      </c>
      <c r="AI173">
        <v>3</v>
      </c>
      <c r="AJ173">
        <v>1</v>
      </c>
      <c r="AK173">
        <v>52</v>
      </c>
      <c r="AL173">
        <v>3</v>
      </c>
      <c r="AM173">
        <v>4</v>
      </c>
      <c r="AN173">
        <v>0</v>
      </c>
      <c r="AO173" t="s">
        <v>1040</v>
      </c>
      <c r="AP173" t="s">
        <v>68</v>
      </c>
      <c r="AQ173">
        <v>0.49199999999999999</v>
      </c>
      <c r="AR173" t="s">
        <v>69</v>
      </c>
      <c r="AS173">
        <v>56</v>
      </c>
      <c r="AT173">
        <v>3</v>
      </c>
      <c r="AU173">
        <v>2.537E-2</v>
      </c>
      <c r="AV173">
        <v>-8.5299999999999994E-3</v>
      </c>
      <c r="AW173">
        <v>0.13449</v>
      </c>
      <c r="AX173">
        <v>-4.5969999999999997E-2</v>
      </c>
      <c r="AY173">
        <v>1.6100000000000001E-3</v>
      </c>
      <c r="AZ173">
        <v>-6.6E-4</v>
      </c>
      <c r="BA173">
        <v>1.1990000000000001E-2</v>
      </c>
      <c r="BB173">
        <v>1</v>
      </c>
      <c r="BC173" t="s">
        <v>70</v>
      </c>
      <c r="BD173">
        <v>-0.59399999999999997</v>
      </c>
      <c r="BE173">
        <v>-0.75900000000000001</v>
      </c>
      <c r="BF173" t="s">
        <v>71</v>
      </c>
      <c r="BG173">
        <v>0.132382892057026</v>
      </c>
      <c r="BI173">
        <v>59</v>
      </c>
      <c r="BJ173">
        <v>1.1990000000000001E-2</v>
      </c>
      <c r="BK173">
        <v>0.132382892057026</v>
      </c>
    </row>
    <row r="174" spans="1:63">
      <c r="A174">
        <v>914</v>
      </c>
      <c r="B174" t="s">
        <v>1041</v>
      </c>
      <c r="D174" t="s">
        <v>60</v>
      </c>
      <c r="E174">
        <v>979939</v>
      </c>
      <c r="F174">
        <v>980310</v>
      </c>
      <c r="G174" t="s">
        <v>74</v>
      </c>
      <c r="H174">
        <v>124</v>
      </c>
      <c r="I174" t="s">
        <v>63</v>
      </c>
      <c r="J174">
        <v>5</v>
      </c>
      <c r="K174" t="str">
        <f>HYPERLINK("Gene914-zp_tree_all.dnd", "Gene914-tree")</f>
        <v>Gene914-tree</v>
      </c>
      <c r="L174">
        <v>2</v>
      </c>
      <c r="M174">
        <v>3</v>
      </c>
      <c r="N174">
        <v>1</v>
      </c>
      <c r="O174">
        <v>3</v>
      </c>
      <c r="P174">
        <v>0.75</v>
      </c>
      <c r="Q174" t="s">
        <v>65</v>
      </c>
      <c r="R174" t="s">
        <v>86</v>
      </c>
      <c r="S174" t="s">
        <v>66</v>
      </c>
      <c r="T174" t="s">
        <v>66</v>
      </c>
      <c r="U174">
        <v>0</v>
      </c>
      <c r="V174">
        <v>0</v>
      </c>
      <c r="W174">
        <v>10</v>
      </c>
      <c r="X174">
        <v>0</v>
      </c>
      <c r="Y174">
        <v>0</v>
      </c>
      <c r="Z174">
        <v>0</v>
      </c>
      <c r="AA174">
        <v>0</v>
      </c>
      <c r="AB174">
        <v>3</v>
      </c>
      <c r="AC174">
        <v>0</v>
      </c>
      <c r="AD174">
        <v>0</v>
      </c>
      <c r="AE174">
        <v>0</v>
      </c>
      <c r="AF174">
        <v>0</v>
      </c>
      <c r="AG174">
        <v>7</v>
      </c>
      <c r="AH174">
        <v>0</v>
      </c>
      <c r="AI174">
        <v>4</v>
      </c>
      <c r="AJ174">
        <v>1</v>
      </c>
      <c r="AK174">
        <v>13</v>
      </c>
      <c r="AL174">
        <v>7</v>
      </c>
      <c r="AM174">
        <v>4</v>
      </c>
      <c r="AN174">
        <v>3</v>
      </c>
      <c r="AO174" t="s">
        <v>1043</v>
      </c>
      <c r="AP174" t="s">
        <v>1044</v>
      </c>
      <c r="AQ174">
        <v>1.026</v>
      </c>
      <c r="AR174" t="s">
        <v>69</v>
      </c>
      <c r="AS174">
        <v>17</v>
      </c>
      <c r="AT174">
        <v>10</v>
      </c>
      <c r="AU174">
        <v>4.0399999999999998E-2</v>
      </c>
      <c r="AV174">
        <v>-5.1399999999999996E-3</v>
      </c>
      <c r="AW174">
        <v>0.12554000000000001</v>
      </c>
      <c r="AX174">
        <v>-1.498E-2</v>
      </c>
      <c r="AY174">
        <v>1.9720000000000001E-2</v>
      </c>
      <c r="AZ174">
        <v>-3.0300000000000001E-3</v>
      </c>
      <c r="BA174">
        <v>0.15705</v>
      </c>
      <c r="BB174">
        <v>1</v>
      </c>
      <c r="BC174" t="s">
        <v>70</v>
      </c>
      <c r="BD174">
        <v>-0.24399999999999999</v>
      </c>
      <c r="BE174">
        <v>-0.24399999999999999</v>
      </c>
      <c r="BF174" t="s">
        <v>71</v>
      </c>
      <c r="BG174">
        <v>3.5294117647058802E-2</v>
      </c>
      <c r="BI174">
        <v>27</v>
      </c>
      <c r="BJ174">
        <v>0.15705</v>
      </c>
      <c r="BK174">
        <v>3.5294117647058802E-2</v>
      </c>
    </row>
    <row r="175" spans="1:63">
      <c r="A175">
        <v>932</v>
      </c>
      <c r="B175" t="s">
        <v>1050</v>
      </c>
      <c r="D175" t="s">
        <v>60</v>
      </c>
      <c r="E175">
        <v>996643</v>
      </c>
      <c r="F175">
        <v>997035</v>
      </c>
      <c r="G175" t="s">
        <v>74</v>
      </c>
      <c r="H175">
        <v>131</v>
      </c>
      <c r="I175" t="s">
        <v>63</v>
      </c>
      <c r="J175">
        <v>5</v>
      </c>
      <c r="K175" t="str">
        <f>HYPERLINK("Gene932-zp_tree_all.dnd", "Gene932-tree")</f>
        <v>Gene932-tree</v>
      </c>
      <c r="L175">
        <v>2</v>
      </c>
      <c r="M175">
        <v>3</v>
      </c>
      <c r="N175">
        <v>2</v>
      </c>
      <c r="O175">
        <v>3</v>
      </c>
      <c r="P175">
        <v>0.6</v>
      </c>
      <c r="Q175" t="s">
        <v>124</v>
      </c>
      <c r="R175" t="s">
        <v>86</v>
      </c>
      <c r="S175" t="s">
        <v>66</v>
      </c>
      <c r="T175" t="s">
        <v>66</v>
      </c>
      <c r="U175">
        <v>1</v>
      </c>
      <c r="V175">
        <v>2</v>
      </c>
      <c r="W175">
        <v>9</v>
      </c>
      <c r="X175">
        <v>0.18182000000000001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</v>
      </c>
      <c r="AF175">
        <v>2</v>
      </c>
      <c r="AG175">
        <v>9</v>
      </c>
      <c r="AH175">
        <v>0.18182000000000001</v>
      </c>
      <c r="AI175">
        <v>4</v>
      </c>
      <c r="AJ175">
        <v>1</v>
      </c>
      <c r="AK175">
        <v>4</v>
      </c>
      <c r="AL175">
        <v>8</v>
      </c>
      <c r="AM175">
        <v>3</v>
      </c>
      <c r="AN175">
        <v>3</v>
      </c>
      <c r="AO175" t="s">
        <v>1052</v>
      </c>
      <c r="AP175" t="s">
        <v>1053</v>
      </c>
      <c r="AQ175">
        <v>1.006</v>
      </c>
      <c r="AR175" t="s">
        <v>69</v>
      </c>
      <c r="AS175">
        <v>7</v>
      </c>
      <c r="AT175">
        <v>11</v>
      </c>
      <c r="AU175">
        <v>2.137E-2</v>
      </c>
      <c r="AV175">
        <v>-3.49E-3</v>
      </c>
      <c r="AW175">
        <v>4.3189999999999999E-2</v>
      </c>
      <c r="AX175">
        <v>-7.9600000000000001E-3</v>
      </c>
      <c r="AY175">
        <v>1.6289999999999999E-2</v>
      </c>
      <c r="AZ175">
        <v>-2.7799999999999999E-3</v>
      </c>
      <c r="BA175">
        <v>0.37728</v>
      </c>
      <c r="BB175">
        <v>0.96899999999999997</v>
      </c>
      <c r="BC175" t="s">
        <v>70</v>
      </c>
      <c r="BD175">
        <v>-0.20499999999999999</v>
      </c>
      <c r="BE175">
        <v>-0.20499999999999999</v>
      </c>
      <c r="BF175" t="s">
        <v>71</v>
      </c>
      <c r="BG175">
        <v>7.2847682119205295E-2</v>
      </c>
      <c r="BI175">
        <v>18</v>
      </c>
      <c r="BJ175">
        <v>0.37728</v>
      </c>
      <c r="BK175">
        <v>7.2847682119205295E-2</v>
      </c>
    </row>
    <row r="176" spans="1:63">
      <c r="A176">
        <v>935</v>
      </c>
      <c r="B176" t="s">
        <v>1057</v>
      </c>
      <c r="D176" t="s">
        <v>60</v>
      </c>
      <c r="E176">
        <v>998402</v>
      </c>
      <c r="F176">
        <v>999940</v>
      </c>
      <c r="G176" t="s">
        <v>773</v>
      </c>
      <c r="H176">
        <v>513</v>
      </c>
      <c r="I176" t="s">
        <v>85</v>
      </c>
      <c r="J176">
        <v>4</v>
      </c>
      <c r="K176" t="str">
        <f>HYPERLINK("Gene935-zp_tree_all.dnd", "Gene935-tree")</f>
        <v>Gene935-tree</v>
      </c>
      <c r="L176">
        <v>3</v>
      </c>
      <c r="M176">
        <v>1</v>
      </c>
      <c r="N176">
        <v>3</v>
      </c>
      <c r="O176">
        <v>1</v>
      </c>
      <c r="P176">
        <v>0.25</v>
      </c>
      <c r="Q176" t="s">
        <v>86</v>
      </c>
      <c r="R176" t="s">
        <v>65</v>
      </c>
      <c r="S176" t="s">
        <v>66</v>
      </c>
      <c r="T176" t="s">
        <v>66</v>
      </c>
      <c r="U176">
        <v>0</v>
      </c>
      <c r="V176">
        <v>0</v>
      </c>
      <c r="W176">
        <v>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3</v>
      </c>
      <c r="AH176">
        <v>0</v>
      </c>
      <c r="AI176">
        <v>4</v>
      </c>
      <c r="AJ176">
        <v>0</v>
      </c>
      <c r="AK176">
        <v>76</v>
      </c>
      <c r="AL176">
        <v>3</v>
      </c>
      <c r="AM176">
        <v>0</v>
      </c>
      <c r="AN176">
        <v>0</v>
      </c>
      <c r="AO176" t="s">
        <v>1059</v>
      </c>
      <c r="AP176" t="s">
        <v>68</v>
      </c>
      <c r="AQ176">
        <v>0.52</v>
      </c>
      <c r="AR176" t="s">
        <v>69</v>
      </c>
      <c r="AS176">
        <v>76</v>
      </c>
      <c r="AT176">
        <v>3</v>
      </c>
      <c r="AU176">
        <v>2.4369999999999999E-2</v>
      </c>
      <c r="AV176">
        <v>-5.47E-3</v>
      </c>
      <c r="AW176">
        <v>0.11811000000000001</v>
      </c>
      <c r="AX176">
        <v>-2.7060000000000001E-2</v>
      </c>
      <c r="AY176">
        <v>1.25E-3</v>
      </c>
      <c r="AZ176">
        <v>-5.1000000000000004E-4</v>
      </c>
      <c r="BA176">
        <v>1.0580000000000001E-2</v>
      </c>
      <c r="BB176">
        <v>1</v>
      </c>
      <c r="BC176" t="s">
        <v>70</v>
      </c>
      <c r="BD176">
        <v>-0.47099999999999997</v>
      </c>
      <c r="BE176">
        <v>-0.87</v>
      </c>
      <c r="BF176" t="s">
        <v>71</v>
      </c>
      <c r="BG176">
        <v>5.9679767103347797E-2</v>
      </c>
      <c r="BI176">
        <v>79</v>
      </c>
      <c r="BJ176">
        <v>1.0580000000000001E-2</v>
      </c>
      <c r="BK176">
        <v>5.9679767103347797E-2</v>
      </c>
    </row>
    <row r="177" spans="1:63">
      <c r="A177">
        <v>938</v>
      </c>
      <c r="B177" t="s">
        <v>1060</v>
      </c>
      <c r="D177" t="s">
        <v>60</v>
      </c>
      <c r="E177">
        <v>1002501</v>
      </c>
      <c r="F177">
        <v>1003322</v>
      </c>
      <c r="G177" t="s">
        <v>1062</v>
      </c>
      <c r="H177">
        <v>274</v>
      </c>
      <c r="I177" t="s">
        <v>85</v>
      </c>
      <c r="J177">
        <v>4</v>
      </c>
      <c r="K177" t="str">
        <f>HYPERLINK("Gene938-zp_tree_all.dnd", "Gene938-tree")</f>
        <v>Gene938-tree</v>
      </c>
      <c r="L177">
        <v>3</v>
      </c>
      <c r="M177">
        <v>1</v>
      </c>
      <c r="N177">
        <v>3</v>
      </c>
      <c r="O177">
        <v>1</v>
      </c>
      <c r="P177">
        <v>0.25</v>
      </c>
      <c r="Q177" t="s">
        <v>86</v>
      </c>
      <c r="R177" t="s">
        <v>65</v>
      </c>
      <c r="S177" t="s">
        <v>66</v>
      </c>
      <c r="T177" t="s">
        <v>66</v>
      </c>
      <c r="U177">
        <v>0</v>
      </c>
      <c r="V177">
        <v>0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</v>
      </c>
      <c r="AH177">
        <v>0</v>
      </c>
      <c r="AI177">
        <v>4</v>
      </c>
      <c r="AJ177">
        <v>1</v>
      </c>
      <c r="AK177">
        <v>45</v>
      </c>
      <c r="AL177">
        <v>2</v>
      </c>
      <c r="AM177">
        <v>5</v>
      </c>
      <c r="AN177">
        <v>0</v>
      </c>
      <c r="AO177" t="s">
        <v>1063</v>
      </c>
      <c r="AP177" t="s">
        <v>68</v>
      </c>
      <c r="AQ177">
        <v>0.498</v>
      </c>
      <c r="AR177" t="s">
        <v>69</v>
      </c>
      <c r="AS177">
        <v>50</v>
      </c>
      <c r="AT177">
        <v>2</v>
      </c>
      <c r="AU177">
        <v>3.1629999999999998E-2</v>
      </c>
      <c r="AV177">
        <v>-6.3600000000000002E-3</v>
      </c>
      <c r="AW177">
        <v>0.13286999999999999</v>
      </c>
      <c r="AX177">
        <v>-2.7459999999999998E-2</v>
      </c>
      <c r="AY177">
        <v>1.64E-3</v>
      </c>
      <c r="AZ177">
        <v>-6.7000000000000002E-4</v>
      </c>
      <c r="BA177">
        <v>1.2319999999999999E-2</v>
      </c>
      <c r="BB177">
        <v>1</v>
      </c>
      <c r="BC177" t="s">
        <v>70</v>
      </c>
      <c r="BD177">
        <v>-0.28299999999999997</v>
      </c>
      <c r="BE177">
        <v>-0.86699999999999999</v>
      </c>
      <c r="BF177" t="s">
        <v>71</v>
      </c>
      <c r="BG177">
        <v>0.109947643979057</v>
      </c>
      <c r="BI177">
        <v>52</v>
      </c>
      <c r="BJ177">
        <v>1.2319999999999999E-2</v>
      </c>
      <c r="BK177">
        <v>0.109947643979057</v>
      </c>
    </row>
    <row r="178" spans="1:63">
      <c r="A178">
        <v>964</v>
      </c>
      <c r="B178" t="s">
        <v>1073</v>
      </c>
      <c r="D178" t="s">
        <v>60</v>
      </c>
      <c r="E178">
        <v>1031395</v>
      </c>
      <c r="F178">
        <v>1031991</v>
      </c>
      <c r="G178" t="s">
        <v>1075</v>
      </c>
      <c r="H178">
        <v>199</v>
      </c>
      <c r="I178" t="s">
        <v>63</v>
      </c>
      <c r="J178">
        <v>5</v>
      </c>
      <c r="K178" t="str">
        <f>HYPERLINK("Gene964-zp_tree_all.dnd", "Gene964-tree")</f>
        <v>Gene964-tree</v>
      </c>
      <c r="L178">
        <v>5</v>
      </c>
      <c r="M178">
        <v>0</v>
      </c>
      <c r="N178">
        <v>4</v>
      </c>
      <c r="O178">
        <v>0</v>
      </c>
      <c r="P178">
        <v>0</v>
      </c>
      <c r="Q178" t="s">
        <v>135</v>
      </c>
      <c r="R178" t="s">
        <v>66</v>
      </c>
      <c r="S178" t="s">
        <v>66</v>
      </c>
      <c r="T178" t="s">
        <v>66</v>
      </c>
      <c r="U178">
        <v>0</v>
      </c>
      <c r="V178">
        <v>0</v>
      </c>
      <c r="W178">
        <v>7</v>
      </c>
      <c r="X178">
        <v>0</v>
      </c>
      <c r="Y178">
        <v>0</v>
      </c>
      <c r="Z178">
        <v>0</v>
      </c>
      <c r="AA178">
        <v>0</v>
      </c>
      <c r="AB178">
        <v>7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3</v>
      </c>
      <c r="AJ178">
        <v>1</v>
      </c>
      <c r="AK178">
        <v>8</v>
      </c>
      <c r="AL178">
        <v>0</v>
      </c>
      <c r="AM178">
        <v>18</v>
      </c>
      <c r="AN178">
        <v>8</v>
      </c>
      <c r="AO178" t="s">
        <v>68</v>
      </c>
      <c r="AP178" t="s">
        <v>1076</v>
      </c>
      <c r="AQ178">
        <v>0</v>
      </c>
      <c r="AR178" t="s">
        <v>69</v>
      </c>
      <c r="AS178">
        <v>26</v>
      </c>
      <c r="AT178">
        <v>8</v>
      </c>
      <c r="AU178">
        <v>3.5349999999999999E-2</v>
      </c>
      <c r="AV178">
        <v>-8.3400000000000002E-3</v>
      </c>
      <c r="AW178">
        <v>0.12834999999999999</v>
      </c>
      <c r="AX178">
        <v>-2.911E-2</v>
      </c>
      <c r="AY178">
        <v>1.179E-2</v>
      </c>
      <c r="AZ178">
        <v>-2.7799999999999999E-3</v>
      </c>
      <c r="BA178">
        <v>9.1840000000000005E-2</v>
      </c>
      <c r="BB178">
        <v>1</v>
      </c>
      <c r="BC178" t="s">
        <v>70</v>
      </c>
      <c r="BD178">
        <v>1.258</v>
      </c>
      <c r="BE178">
        <v>1.022</v>
      </c>
      <c r="BF178" t="s">
        <v>71</v>
      </c>
      <c r="BG178">
        <v>0.10188679245283</v>
      </c>
      <c r="BI178">
        <v>34</v>
      </c>
      <c r="BJ178">
        <v>9.1840000000000005E-2</v>
      </c>
      <c r="BK178">
        <v>0.10188679245283</v>
      </c>
    </row>
    <row r="179" spans="1:63">
      <c r="A179">
        <v>972</v>
      </c>
      <c r="B179" t="s">
        <v>1084</v>
      </c>
      <c r="D179" t="s">
        <v>60</v>
      </c>
      <c r="E179">
        <v>1038653</v>
      </c>
      <c r="F179">
        <v>1038757</v>
      </c>
      <c r="G179" t="s">
        <v>74</v>
      </c>
      <c r="H179">
        <v>35</v>
      </c>
      <c r="I179" t="s">
        <v>63</v>
      </c>
      <c r="J179">
        <v>5</v>
      </c>
      <c r="K179" t="str">
        <f>HYPERLINK("Gene972-zp_tree_all.dnd", "Gene972-tree")</f>
        <v>Gene972-tree</v>
      </c>
      <c r="L179">
        <v>3</v>
      </c>
      <c r="M179">
        <v>2</v>
      </c>
      <c r="N179">
        <v>2</v>
      </c>
      <c r="O179">
        <v>2</v>
      </c>
      <c r="P179">
        <v>0.5</v>
      </c>
      <c r="Q179" t="s">
        <v>185</v>
      </c>
      <c r="R179" t="s">
        <v>124</v>
      </c>
      <c r="S179" t="s">
        <v>66</v>
      </c>
      <c r="T179" t="s">
        <v>66</v>
      </c>
      <c r="U179">
        <v>0</v>
      </c>
      <c r="V179">
        <v>0</v>
      </c>
      <c r="W179">
        <v>2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2</v>
      </c>
      <c r="AJ179">
        <v>1</v>
      </c>
      <c r="AK179">
        <v>1</v>
      </c>
      <c r="AL179">
        <v>1</v>
      </c>
      <c r="AM179">
        <v>0</v>
      </c>
      <c r="AN179">
        <v>1</v>
      </c>
      <c r="AO179" t="s">
        <v>1086</v>
      </c>
      <c r="AP179" t="s">
        <v>68</v>
      </c>
      <c r="AQ179">
        <v>0.70699999999999996</v>
      </c>
      <c r="AR179" t="s">
        <v>69</v>
      </c>
      <c r="AS179">
        <v>1</v>
      </c>
      <c r="AT179">
        <v>2</v>
      </c>
      <c r="AU179">
        <v>1.5869999999999999E-2</v>
      </c>
      <c r="AV179">
        <v>-2.8999999999999998E-3</v>
      </c>
      <c r="AW179">
        <v>2.4400000000000002E-2</v>
      </c>
      <c r="AX179">
        <v>-9.9600000000000001E-3</v>
      </c>
      <c r="AY179">
        <v>1.409E-2</v>
      </c>
      <c r="AZ179">
        <v>-2.47E-3</v>
      </c>
      <c r="BA179">
        <v>0.57764000000000004</v>
      </c>
      <c r="BB179">
        <v>0.51700000000000002</v>
      </c>
      <c r="BC179" t="s">
        <v>188</v>
      </c>
      <c r="BD179">
        <v>-0.17499999999999999</v>
      </c>
      <c r="BE179">
        <v>-0.17499999999999999</v>
      </c>
      <c r="BF179" t="s">
        <v>71</v>
      </c>
      <c r="BG179">
        <v>0.31818181818181801</v>
      </c>
      <c r="BI179">
        <v>3</v>
      </c>
      <c r="BJ179">
        <v>0.57764000000000004</v>
      </c>
      <c r="BK179">
        <v>0.31818181818181801</v>
      </c>
    </row>
    <row r="180" spans="1:63">
      <c r="A180">
        <v>989</v>
      </c>
      <c r="B180" t="s">
        <v>1096</v>
      </c>
      <c r="D180" t="s">
        <v>60</v>
      </c>
      <c r="E180">
        <v>1054746</v>
      </c>
      <c r="F180">
        <v>1055096</v>
      </c>
      <c r="G180" t="s">
        <v>74</v>
      </c>
      <c r="H180">
        <v>117</v>
      </c>
      <c r="I180" t="s">
        <v>63</v>
      </c>
      <c r="J180">
        <v>5</v>
      </c>
      <c r="K180" t="str">
        <f>HYPERLINK("Gene989-zp_tree_all.dnd", "Gene989-tree")</f>
        <v>Gene989-tree</v>
      </c>
      <c r="L180">
        <v>4</v>
      </c>
      <c r="M180">
        <v>1</v>
      </c>
      <c r="N180">
        <v>4</v>
      </c>
      <c r="O180">
        <v>1</v>
      </c>
      <c r="P180">
        <v>0.2</v>
      </c>
      <c r="Q180" t="s">
        <v>64</v>
      </c>
      <c r="R180" t="s">
        <v>65</v>
      </c>
      <c r="S180" t="s">
        <v>66</v>
      </c>
      <c r="T180" t="s">
        <v>66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4</v>
      </c>
      <c r="AJ180">
        <v>1</v>
      </c>
      <c r="AK180">
        <v>7</v>
      </c>
      <c r="AL180">
        <v>1</v>
      </c>
      <c r="AM180">
        <v>8</v>
      </c>
      <c r="AN180">
        <v>0</v>
      </c>
      <c r="AO180" t="s">
        <v>1098</v>
      </c>
      <c r="AP180" t="s">
        <v>68</v>
      </c>
      <c r="AQ180">
        <v>0.61899999999999999</v>
      </c>
      <c r="AR180" t="s">
        <v>69</v>
      </c>
      <c r="AS180">
        <v>15</v>
      </c>
      <c r="AT180">
        <v>1</v>
      </c>
      <c r="AU180">
        <v>2.299E-2</v>
      </c>
      <c r="AV180">
        <v>-4.3200000000000001E-3</v>
      </c>
      <c r="AW180">
        <v>0.11996</v>
      </c>
      <c r="AX180">
        <v>-2.3189999999999999E-2</v>
      </c>
      <c r="AY180">
        <v>1.4499999999999999E-3</v>
      </c>
      <c r="AZ180">
        <v>-5.5999999999999995E-4</v>
      </c>
      <c r="BA180">
        <v>1.205E-2</v>
      </c>
      <c r="BB180">
        <v>1</v>
      </c>
      <c r="BC180" t="s">
        <v>70</v>
      </c>
      <c r="BD180">
        <v>0.30499999999999999</v>
      </c>
      <c r="BE180">
        <v>0.30499999999999999</v>
      </c>
      <c r="BF180" t="s">
        <v>71</v>
      </c>
      <c r="BG180">
        <v>0.165562913907284</v>
      </c>
      <c r="BI180">
        <v>16</v>
      </c>
      <c r="BJ180">
        <v>1.205E-2</v>
      </c>
      <c r="BK180">
        <v>0.165562913907284</v>
      </c>
    </row>
    <row r="181" spans="1:63">
      <c r="A181">
        <v>1007</v>
      </c>
      <c r="B181" t="s">
        <v>1101</v>
      </c>
      <c r="D181" t="s">
        <v>60</v>
      </c>
      <c r="E181">
        <v>1072768</v>
      </c>
      <c r="F181">
        <v>1073106</v>
      </c>
      <c r="G181" t="s">
        <v>74</v>
      </c>
      <c r="H181">
        <v>113</v>
      </c>
      <c r="I181" t="s">
        <v>63</v>
      </c>
      <c r="J181">
        <v>5</v>
      </c>
      <c r="K181" t="str">
        <f>HYPERLINK("Gene1007-zp_tree_all.dnd", "Gene1007-tree")</f>
        <v>Gene1007-tree</v>
      </c>
      <c r="L181">
        <v>4</v>
      </c>
      <c r="M181">
        <v>1</v>
      </c>
      <c r="N181">
        <v>4</v>
      </c>
      <c r="O181">
        <v>1</v>
      </c>
      <c r="P181">
        <v>0.2</v>
      </c>
      <c r="Q181" t="s">
        <v>64</v>
      </c>
      <c r="R181" t="s">
        <v>65</v>
      </c>
      <c r="S181" t="s">
        <v>66</v>
      </c>
      <c r="T181" t="s">
        <v>66</v>
      </c>
      <c r="U181">
        <v>0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0</v>
      </c>
      <c r="AB181">
        <v>3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4</v>
      </c>
      <c r="AJ181">
        <v>1</v>
      </c>
      <c r="AK181">
        <v>7</v>
      </c>
      <c r="AL181">
        <v>1</v>
      </c>
      <c r="AM181">
        <v>3</v>
      </c>
      <c r="AN181">
        <v>3</v>
      </c>
      <c r="AO181" t="s">
        <v>1103</v>
      </c>
      <c r="AP181" t="s">
        <v>1104</v>
      </c>
      <c r="AQ181">
        <v>3.891</v>
      </c>
      <c r="AR181" t="s">
        <v>69</v>
      </c>
      <c r="AS181">
        <v>10</v>
      </c>
      <c r="AT181">
        <v>4</v>
      </c>
      <c r="AU181">
        <v>2.0060000000000001E-2</v>
      </c>
      <c r="AV181">
        <v>-3.2799999999999999E-3</v>
      </c>
      <c r="AW181">
        <v>6.8159999999999998E-2</v>
      </c>
      <c r="AX181">
        <v>-9.4500000000000001E-3</v>
      </c>
      <c r="AY181">
        <v>8.2900000000000005E-3</v>
      </c>
      <c r="AZ181">
        <v>-1.98E-3</v>
      </c>
      <c r="BA181">
        <v>0.12157999999999999</v>
      </c>
      <c r="BB181">
        <v>0.98</v>
      </c>
      <c r="BC181" t="s">
        <v>70</v>
      </c>
      <c r="BD181">
        <v>8.6999999999999994E-2</v>
      </c>
      <c r="BE181">
        <v>8.6999999999999994E-2</v>
      </c>
      <c r="BF181" t="s">
        <v>71</v>
      </c>
      <c r="BG181">
        <v>0.214285714285714</v>
      </c>
      <c r="BI181">
        <v>14</v>
      </c>
      <c r="BJ181">
        <v>0.12157999999999999</v>
      </c>
      <c r="BK181">
        <v>0.214285714285714</v>
      </c>
    </row>
    <row r="182" spans="1:63">
      <c r="A182">
        <v>1010</v>
      </c>
      <c r="B182" t="s">
        <v>1112</v>
      </c>
      <c r="D182" t="s">
        <v>60</v>
      </c>
      <c r="E182">
        <v>1074381</v>
      </c>
      <c r="F182">
        <v>1074569</v>
      </c>
      <c r="G182" t="s">
        <v>74</v>
      </c>
      <c r="H182">
        <v>63</v>
      </c>
      <c r="I182" t="s">
        <v>63</v>
      </c>
      <c r="J182">
        <v>5</v>
      </c>
      <c r="K182" t="str">
        <f>HYPERLINK("Gene1010-zp_tree_all.dnd", "Gene1010-tree")</f>
        <v>Gene1010-tree</v>
      </c>
      <c r="L182">
        <v>2</v>
      </c>
      <c r="M182">
        <v>3</v>
      </c>
      <c r="N182">
        <v>2</v>
      </c>
      <c r="O182">
        <v>3</v>
      </c>
      <c r="P182">
        <v>0.6</v>
      </c>
      <c r="Q182" t="s">
        <v>124</v>
      </c>
      <c r="R182" t="s">
        <v>86</v>
      </c>
      <c r="S182" t="s">
        <v>66</v>
      </c>
      <c r="T182" t="s">
        <v>66</v>
      </c>
      <c r="U182">
        <v>1</v>
      </c>
      <c r="V182">
        <v>2</v>
      </c>
      <c r="W182">
        <v>3</v>
      </c>
      <c r="X182">
        <v>0.4</v>
      </c>
      <c r="Y182">
        <v>0</v>
      </c>
      <c r="Z182">
        <v>0</v>
      </c>
      <c r="AA182">
        <v>0</v>
      </c>
      <c r="AB182">
        <v>3</v>
      </c>
      <c r="AC182">
        <v>0</v>
      </c>
      <c r="AD182">
        <v>0</v>
      </c>
      <c r="AE182">
        <v>0</v>
      </c>
      <c r="AF182">
        <v>0</v>
      </c>
      <c r="AG182">
        <v>2</v>
      </c>
      <c r="AH182">
        <v>0</v>
      </c>
      <c r="AI182">
        <v>4</v>
      </c>
      <c r="AJ182">
        <v>2</v>
      </c>
      <c r="AK182">
        <v>5</v>
      </c>
      <c r="AL182">
        <v>2</v>
      </c>
      <c r="AM182">
        <v>2</v>
      </c>
      <c r="AN182">
        <v>3</v>
      </c>
      <c r="AO182" t="s">
        <v>1114</v>
      </c>
      <c r="AP182" t="s">
        <v>1115</v>
      </c>
      <c r="AQ182">
        <v>3.5830000000000002</v>
      </c>
      <c r="AR182" t="s">
        <v>69</v>
      </c>
      <c r="AS182">
        <v>7</v>
      </c>
      <c r="AT182">
        <v>5</v>
      </c>
      <c r="AU182">
        <v>2.8570000000000002E-2</v>
      </c>
      <c r="AV182">
        <v>-3.0999999999999999E-3</v>
      </c>
      <c r="AW182">
        <v>6.7570000000000005E-2</v>
      </c>
      <c r="AX182">
        <v>-8.4799999999999997E-3</v>
      </c>
      <c r="AY182">
        <v>1.602E-2</v>
      </c>
      <c r="AZ182">
        <v>-2.5000000000000001E-3</v>
      </c>
      <c r="BA182">
        <v>0.23713000000000001</v>
      </c>
      <c r="BB182">
        <v>0.93799999999999994</v>
      </c>
      <c r="BC182" t="s">
        <v>188</v>
      </c>
      <c r="BD182">
        <v>0.16400000000000001</v>
      </c>
      <c r="BE182">
        <v>0.16400000000000001</v>
      </c>
      <c r="BF182" t="s">
        <v>71</v>
      </c>
      <c r="BG182">
        <v>-0.25581395348837199</v>
      </c>
      <c r="BI182">
        <v>12</v>
      </c>
      <c r="BJ182">
        <v>0.23713000000000001</v>
      </c>
      <c r="BK182">
        <v>-0.25581395348837199</v>
      </c>
    </row>
    <row r="183" spans="1:63">
      <c r="A183">
        <v>1014</v>
      </c>
      <c r="B183" t="s">
        <v>1116</v>
      </c>
      <c r="D183" t="s">
        <v>60</v>
      </c>
      <c r="E183">
        <v>1077440</v>
      </c>
      <c r="F183">
        <v>1078180</v>
      </c>
      <c r="G183" t="s">
        <v>560</v>
      </c>
      <c r="H183">
        <v>247</v>
      </c>
      <c r="I183" t="s">
        <v>63</v>
      </c>
      <c r="J183">
        <v>5</v>
      </c>
      <c r="K183" t="str">
        <f>HYPERLINK("Gene1014-zp_tree_all.dnd", "Gene1014-tree")</f>
        <v>Gene1014-tree</v>
      </c>
      <c r="L183">
        <v>4</v>
      </c>
      <c r="M183">
        <v>1</v>
      </c>
      <c r="N183">
        <v>4</v>
      </c>
      <c r="O183">
        <v>1</v>
      </c>
      <c r="P183">
        <v>0.2</v>
      </c>
      <c r="Q183" t="s">
        <v>64</v>
      </c>
      <c r="R183" t="s">
        <v>65</v>
      </c>
      <c r="S183" t="s">
        <v>66</v>
      </c>
      <c r="T183" t="s">
        <v>66</v>
      </c>
      <c r="U183">
        <v>0</v>
      </c>
      <c r="V183">
        <v>0</v>
      </c>
      <c r="W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2</v>
      </c>
      <c r="AH183">
        <v>0</v>
      </c>
      <c r="AI183">
        <v>5</v>
      </c>
      <c r="AJ183">
        <v>2</v>
      </c>
      <c r="AK183">
        <v>20</v>
      </c>
      <c r="AL183">
        <v>3</v>
      </c>
      <c r="AM183">
        <v>23</v>
      </c>
      <c r="AN183">
        <v>0</v>
      </c>
      <c r="AO183" t="s">
        <v>1118</v>
      </c>
      <c r="AP183" t="s">
        <v>68</v>
      </c>
      <c r="AQ183">
        <v>0.52200000000000002</v>
      </c>
      <c r="AR183" t="s">
        <v>69</v>
      </c>
      <c r="AS183">
        <v>43</v>
      </c>
      <c r="AT183">
        <v>3</v>
      </c>
      <c r="AU183">
        <v>3.0089999999999999E-2</v>
      </c>
      <c r="AV183">
        <v>-4.7400000000000003E-3</v>
      </c>
      <c r="AW183">
        <v>0.13667000000000001</v>
      </c>
      <c r="AX183">
        <v>-2.2440000000000002E-2</v>
      </c>
      <c r="AY183">
        <v>2.1199999999999999E-3</v>
      </c>
      <c r="AZ183">
        <v>-8.1999999999999998E-4</v>
      </c>
      <c r="BA183">
        <v>1.5509999999999999E-2</v>
      </c>
      <c r="BB183">
        <v>1</v>
      </c>
      <c r="BC183" t="s">
        <v>70</v>
      </c>
      <c r="BD183">
        <v>0.42099999999999999</v>
      </c>
      <c r="BE183">
        <v>0.24299999999999999</v>
      </c>
      <c r="BF183" t="s">
        <v>71</v>
      </c>
      <c r="BG183">
        <v>0.118840579710144</v>
      </c>
      <c r="BI183">
        <v>46</v>
      </c>
      <c r="BJ183">
        <v>1.5509999999999999E-2</v>
      </c>
      <c r="BK183">
        <v>0.118840579710144</v>
      </c>
    </row>
    <row r="184" spans="1:63">
      <c r="A184">
        <v>1022</v>
      </c>
      <c r="B184" t="s">
        <v>1119</v>
      </c>
      <c r="D184" t="s">
        <v>60</v>
      </c>
      <c r="E184">
        <v>1086117</v>
      </c>
      <c r="F184">
        <v>1087175</v>
      </c>
      <c r="G184" t="s">
        <v>1121</v>
      </c>
      <c r="H184">
        <v>353</v>
      </c>
      <c r="I184" t="s">
        <v>85</v>
      </c>
      <c r="J184">
        <v>4</v>
      </c>
      <c r="K184" t="str">
        <f>HYPERLINK("Gene1022-zp_tree_all.dnd", "Gene1022-tree")</f>
        <v>Gene1022-tree</v>
      </c>
      <c r="L184">
        <v>0</v>
      </c>
      <c r="M184">
        <v>4</v>
      </c>
      <c r="N184">
        <v>0</v>
      </c>
      <c r="O184">
        <v>4</v>
      </c>
      <c r="P184">
        <v>1</v>
      </c>
      <c r="Q184" t="s">
        <v>66</v>
      </c>
      <c r="R184" t="s">
        <v>64</v>
      </c>
      <c r="S184" t="s">
        <v>66</v>
      </c>
      <c r="T184" t="s">
        <v>66</v>
      </c>
      <c r="U184">
        <v>0</v>
      </c>
      <c r="V184">
        <v>0</v>
      </c>
      <c r="W184">
        <v>12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12</v>
      </c>
      <c r="AH184">
        <v>0</v>
      </c>
      <c r="AI184">
        <v>4</v>
      </c>
      <c r="AJ184">
        <v>1</v>
      </c>
      <c r="AK184">
        <v>48</v>
      </c>
      <c r="AL184">
        <v>9</v>
      </c>
      <c r="AM184">
        <v>8</v>
      </c>
      <c r="AN184">
        <v>3</v>
      </c>
      <c r="AO184" t="s">
        <v>1122</v>
      </c>
      <c r="AP184" t="s">
        <v>1123</v>
      </c>
      <c r="AQ184">
        <v>1.2749999999999999</v>
      </c>
      <c r="AR184" t="s">
        <v>69</v>
      </c>
      <c r="AS184">
        <v>56</v>
      </c>
      <c r="AT184">
        <v>12</v>
      </c>
      <c r="AU184">
        <v>3.2259999999999997E-2</v>
      </c>
      <c r="AV184">
        <v>-6.43E-3</v>
      </c>
      <c r="AW184">
        <v>0.12711</v>
      </c>
      <c r="AX184">
        <v>-3.032E-2</v>
      </c>
      <c r="AY184">
        <v>8.0099999999999998E-3</v>
      </c>
      <c r="AZ184">
        <v>-9.6000000000000002E-4</v>
      </c>
      <c r="BA184">
        <v>6.3039999999999999E-2</v>
      </c>
      <c r="BB184">
        <v>1</v>
      </c>
      <c r="BC184" t="s">
        <v>70</v>
      </c>
      <c r="BD184">
        <v>-0.06</v>
      </c>
      <c r="BE184">
        <v>-0.66700000000000004</v>
      </c>
      <c r="BF184" t="s">
        <v>71</v>
      </c>
      <c r="BG184">
        <v>8.66141732283464E-2</v>
      </c>
      <c r="BI184">
        <v>68</v>
      </c>
      <c r="BJ184">
        <v>6.3039999999999999E-2</v>
      </c>
      <c r="BK184">
        <v>8.66141732283464E-2</v>
      </c>
    </row>
    <row r="185" spans="1:63">
      <c r="A185">
        <v>1033</v>
      </c>
      <c r="B185" t="s">
        <v>1127</v>
      </c>
      <c r="D185" t="s">
        <v>60</v>
      </c>
      <c r="E185">
        <v>1098412</v>
      </c>
      <c r="F185">
        <v>1099143</v>
      </c>
      <c r="G185" t="s">
        <v>74</v>
      </c>
      <c r="H185">
        <v>244</v>
      </c>
      <c r="I185" t="s">
        <v>85</v>
      </c>
      <c r="J185">
        <v>4</v>
      </c>
      <c r="K185" t="str">
        <f>HYPERLINK("Gene1033-zp_tree_all.dnd", "Gene1033-tree")</f>
        <v>Gene1033-tree</v>
      </c>
      <c r="L185">
        <v>2</v>
      </c>
      <c r="M185">
        <v>2</v>
      </c>
      <c r="N185">
        <v>2</v>
      </c>
      <c r="O185">
        <v>2</v>
      </c>
      <c r="P185">
        <v>0.5</v>
      </c>
      <c r="Q185" t="s">
        <v>124</v>
      </c>
      <c r="R185" t="s">
        <v>124</v>
      </c>
      <c r="S185" t="s">
        <v>66</v>
      </c>
      <c r="T185" t="s">
        <v>66</v>
      </c>
      <c r="U185">
        <v>0</v>
      </c>
      <c r="V185">
        <v>0</v>
      </c>
      <c r="W185">
        <v>8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8</v>
      </c>
      <c r="AH185">
        <v>0</v>
      </c>
      <c r="AI185">
        <v>4</v>
      </c>
      <c r="AJ185">
        <v>1</v>
      </c>
      <c r="AK185">
        <v>31</v>
      </c>
      <c r="AL185">
        <v>8</v>
      </c>
      <c r="AM185">
        <v>1</v>
      </c>
      <c r="AN185">
        <v>0</v>
      </c>
      <c r="AO185" t="s">
        <v>1129</v>
      </c>
      <c r="AP185" t="s">
        <v>68</v>
      </c>
      <c r="AQ185">
        <v>0.53800000000000003</v>
      </c>
      <c r="AR185" t="s">
        <v>69</v>
      </c>
      <c r="AS185">
        <v>32</v>
      </c>
      <c r="AT185">
        <v>8</v>
      </c>
      <c r="AU185">
        <v>2.7089999999999999E-2</v>
      </c>
      <c r="AV185">
        <v>-7.7499999999999999E-3</v>
      </c>
      <c r="AW185">
        <v>9.9379999999999996E-2</v>
      </c>
      <c r="AX185">
        <v>-2.8139999999999998E-2</v>
      </c>
      <c r="AY185">
        <v>7.2500000000000004E-3</v>
      </c>
      <c r="AZ185">
        <v>-2.49E-3</v>
      </c>
      <c r="BA185">
        <v>7.2900000000000006E-2</v>
      </c>
      <c r="BB185">
        <v>1</v>
      </c>
      <c r="BC185" t="s">
        <v>70</v>
      </c>
      <c r="BD185">
        <v>-0.70199999999999996</v>
      </c>
      <c r="BE185">
        <v>-0.70199999999999996</v>
      </c>
      <c r="BF185" t="s">
        <v>71</v>
      </c>
      <c r="BG185">
        <v>6.9767441860465101E-2</v>
      </c>
      <c r="BI185">
        <v>40</v>
      </c>
      <c r="BJ185">
        <v>7.2900000000000006E-2</v>
      </c>
      <c r="BK185">
        <v>6.9767441860465101E-2</v>
      </c>
    </row>
    <row r="186" spans="1:63">
      <c r="A186">
        <v>1057</v>
      </c>
      <c r="B186" t="s">
        <v>1142</v>
      </c>
      <c r="D186" t="s">
        <v>60</v>
      </c>
      <c r="E186">
        <v>1121550</v>
      </c>
      <c r="F186">
        <v>1122170</v>
      </c>
      <c r="G186" t="s">
        <v>74</v>
      </c>
      <c r="H186">
        <v>207</v>
      </c>
      <c r="I186" t="s">
        <v>63</v>
      </c>
      <c r="J186">
        <v>5</v>
      </c>
      <c r="K186" t="str">
        <f>HYPERLINK("Gene1057-zp_tree_all.dnd", "Gene1057-tree")</f>
        <v>Gene1057-tree</v>
      </c>
      <c r="L186">
        <v>3</v>
      </c>
      <c r="M186">
        <v>2</v>
      </c>
      <c r="N186">
        <v>3</v>
      </c>
      <c r="O186">
        <v>2</v>
      </c>
      <c r="P186">
        <v>0.4</v>
      </c>
      <c r="Q186" t="s">
        <v>86</v>
      </c>
      <c r="R186" t="s">
        <v>124</v>
      </c>
      <c r="S186" t="s">
        <v>66</v>
      </c>
      <c r="T186" t="s">
        <v>66</v>
      </c>
      <c r="U186">
        <v>1</v>
      </c>
      <c r="V186">
        <v>2</v>
      </c>
      <c r="W186">
        <v>6</v>
      </c>
      <c r="X186">
        <v>0.25</v>
      </c>
      <c r="Y186">
        <v>0</v>
      </c>
      <c r="Z186">
        <v>0</v>
      </c>
      <c r="AA186">
        <v>0</v>
      </c>
      <c r="AB186">
        <v>3</v>
      </c>
      <c r="AC186">
        <v>0</v>
      </c>
      <c r="AD186">
        <v>0</v>
      </c>
      <c r="AE186">
        <v>0</v>
      </c>
      <c r="AF186">
        <v>0</v>
      </c>
      <c r="AG186">
        <v>5</v>
      </c>
      <c r="AH186">
        <v>0</v>
      </c>
      <c r="AI186">
        <v>4</v>
      </c>
      <c r="AJ186">
        <v>2</v>
      </c>
      <c r="AK186">
        <v>18</v>
      </c>
      <c r="AL186">
        <v>5</v>
      </c>
      <c r="AM186">
        <v>18</v>
      </c>
      <c r="AN186">
        <v>3</v>
      </c>
      <c r="AO186" t="s">
        <v>1144</v>
      </c>
      <c r="AP186" t="s">
        <v>1145</v>
      </c>
      <c r="AQ186">
        <v>0.33700000000000002</v>
      </c>
      <c r="AR186" t="s">
        <v>69</v>
      </c>
      <c r="AS186">
        <v>36</v>
      </c>
      <c r="AT186">
        <v>8</v>
      </c>
      <c r="AU186">
        <v>3.3980000000000003E-2</v>
      </c>
      <c r="AV186">
        <v>-5.8799999999999998E-3</v>
      </c>
      <c r="AW186">
        <v>0.12834999999999999</v>
      </c>
      <c r="AX186">
        <v>-2.282E-2</v>
      </c>
      <c r="AY186">
        <v>7.7400000000000004E-3</v>
      </c>
      <c r="AZ186">
        <v>-1.6999999999999999E-3</v>
      </c>
      <c r="BA186">
        <v>6.0290000000000003E-2</v>
      </c>
      <c r="BB186">
        <v>1</v>
      </c>
      <c r="BC186" t="s">
        <v>70</v>
      </c>
      <c r="BD186">
        <v>0.54300000000000004</v>
      </c>
      <c r="BE186">
        <v>4.5999999999999999E-2</v>
      </c>
      <c r="BF186" t="s">
        <v>71</v>
      </c>
      <c r="BG186">
        <v>0.11864406779661001</v>
      </c>
      <c r="BI186">
        <v>44</v>
      </c>
      <c r="BJ186">
        <v>6.0290000000000003E-2</v>
      </c>
      <c r="BK186">
        <v>0.11864406779661001</v>
      </c>
    </row>
    <row r="187" spans="1:63">
      <c r="A187">
        <v>1058</v>
      </c>
      <c r="B187" t="s">
        <v>1146</v>
      </c>
      <c r="D187" t="s">
        <v>60</v>
      </c>
      <c r="E187">
        <v>1122175</v>
      </c>
      <c r="F187">
        <v>1122678</v>
      </c>
      <c r="G187" t="s">
        <v>1148</v>
      </c>
      <c r="H187">
        <v>168</v>
      </c>
      <c r="I187" t="s">
        <v>63</v>
      </c>
      <c r="J187">
        <v>5</v>
      </c>
      <c r="K187" t="str">
        <f>HYPERLINK("Gene1058-zp_tree_all.dnd", "Gene1058-tree")</f>
        <v>Gene1058-tree</v>
      </c>
      <c r="L187">
        <v>3</v>
      </c>
      <c r="M187">
        <v>2</v>
      </c>
      <c r="N187">
        <v>3</v>
      </c>
      <c r="O187">
        <v>2</v>
      </c>
      <c r="P187">
        <v>0.4</v>
      </c>
      <c r="Q187" t="s">
        <v>86</v>
      </c>
      <c r="R187" t="s">
        <v>124</v>
      </c>
      <c r="S187" t="s">
        <v>66</v>
      </c>
      <c r="T187" t="s">
        <v>66</v>
      </c>
      <c r="U187">
        <v>0</v>
      </c>
      <c r="V187">
        <v>0</v>
      </c>
      <c r="W187">
        <v>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5</v>
      </c>
      <c r="AH187">
        <v>0</v>
      </c>
      <c r="AI187">
        <v>4</v>
      </c>
      <c r="AJ187">
        <v>1</v>
      </c>
      <c r="AK187">
        <v>19</v>
      </c>
      <c r="AL187">
        <v>3</v>
      </c>
      <c r="AM187">
        <v>12</v>
      </c>
      <c r="AN187">
        <v>3</v>
      </c>
      <c r="AO187" t="s">
        <v>1149</v>
      </c>
      <c r="AP187" t="s">
        <v>1150</v>
      </c>
      <c r="AQ187">
        <v>0.71899999999999997</v>
      </c>
      <c r="AR187" t="s">
        <v>69</v>
      </c>
      <c r="AS187">
        <v>31</v>
      </c>
      <c r="AT187">
        <v>6</v>
      </c>
      <c r="AU187">
        <v>3.5540000000000002E-2</v>
      </c>
      <c r="AV187">
        <v>-5.9100000000000003E-3</v>
      </c>
      <c r="AW187">
        <v>0.14960999999999999</v>
      </c>
      <c r="AX187">
        <v>-2.5190000000000001E-2</v>
      </c>
      <c r="AY187">
        <v>7.8200000000000006E-3</v>
      </c>
      <c r="AZ187">
        <v>-1.6900000000000001E-3</v>
      </c>
      <c r="BA187">
        <v>5.2249999999999998E-2</v>
      </c>
      <c r="BB187">
        <v>1</v>
      </c>
      <c r="BC187" t="s">
        <v>70</v>
      </c>
      <c r="BD187">
        <v>0.17299999999999999</v>
      </c>
      <c r="BE187">
        <v>-6.8000000000000005E-2</v>
      </c>
      <c r="BF187" t="s">
        <v>71</v>
      </c>
      <c r="BG187">
        <v>0.161904761904761</v>
      </c>
      <c r="BI187">
        <v>37</v>
      </c>
      <c r="BJ187">
        <v>5.2249999999999998E-2</v>
      </c>
      <c r="BK187">
        <v>0.161904761904761</v>
      </c>
    </row>
    <row r="188" spans="1:63">
      <c r="A188">
        <v>1065</v>
      </c>
      <c r="B188" t="s">
        <v>1160</v>
      </c>
      <c r="D188" t="s">
        <v>60</v>
      </c>
      <c r="E188">
        <v>1129715</v>
      </c>
      <c r="F188">
        <v>1130701</v>
      </c>
      <c r="G188" t="s">
        <v>1162</v>
      </c>
      <c r="H188">
        <v>329</v>
      </c>
      <c r="I188" t="s">
        <v>63</v>
      </c>
      <c r="J188">
        <v>5</v>
      </c>
      <c r="K188" t="str">
        <f>HYPERLINK("Gene1065-zp_tree_all.dnd", "Gene1065-tree")</f>
        <v>Gene1065-tree</v>
      </c>
      <c r="L188">
        <v>1</v>
      </c>
      <c r="M188">
        <v>4</v>
      </c>
      <c r="N188">
        <v>1</v>
      </c>
      <c r="O188">
        <v>4</v>
      </c>
      <c r="P188">
        <v>0.8</v>
      </c>
      <c r="Q188" t="s">
        <v>65</v>
      </c>
      <c r="R188" t="s">
        <v>64</v>
      </c>
      <c r="S188" t="s">
        <v>66</v>
      </c>
      <c r="T188" t="s">
        <v>66</v>
      </c>
      <c r="U188">
        <v>2</v>
      </c>
      <c r="V188">
        <v>4</v>
      </c>
      <c r="W188">
        <v>17</v>
      </c>
      <c r="X188">
        <v>0.19048000000000001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4</v>
      </c>
      <c r="AF188">
        <v>4</v>
      </c>
      <c r="AG188">
        <v>17</v>
      </c>
      <c r="AH188">
        <v>0.19048000000000001</v>
      </c>
      <c r="AI188">
        <v>5</v>
      </c>
      <c r="AJ188">
        <v>2</v>
      </c>
      <c r="AK188">
        <v>34</v>
      </c>
      <c r="AL188">
        <v>15</v>
      </c>
      <c r="AM188">
        <v>15</v>
      </c>
      <c r="AN188">
        <v>7</v>
      </c>
      <c r="AO188" t="s">
        <v>1163</v>
      </c>
      <c r="AP188" t="s">
        <v>1164</v>
      </c>
      <c r="AQ188">
        <v>7.3999999999999996E-2</v>
      </c>
      <c r="AR188" t="s">
        <v>69</v>
      </c>
      <c r="AS188">
        <v>49</v>
      </c>
      <c r="AT188">
        <v>22</v>
      </c>
      <c r="AU188">
        <v>3.252E-2</v>
      </c>
      <c r="AV188">
        <v>-4.13E-3</v>
      </c>
      <c r="AW188">
        <v>0.11219999999999999</v>
      </c>
      <c r="AX188">
        <v>-1.401E-2</v>
      </c>
      <c r="AY188">
        <v>1.3469999999999999E-2</v>
      </c>
      <c r="AZ188">
        <v>-2.15E-3</v>
      </c>
      <c r="BA188">
        <v>0.12003</v>
      </c>
      <c r="BB188">
        <v>1</v>
      </c>
      <c r="BC188" t="s">
        <v>70</v>
      </c>
      <c r="BD188">
        <v>-0.14899999999999999</v>
      </c>
      <c r="BE188">
        <v>-0.14899999999999999</v>
      </c>
      <c r="BF188" t="s">
        <v>71</v>
      </c>
      <c r="BG188">
        <v>0.11363636363636299</v>
      </c>
      <c r="BI188">
        <v>71</v>
      </c>
      <c r="BJ188">
        <v>0.12003</v>
      </c>
      <c r="BK188">
        <v>0.11363636363636299</v>
      </c>
    </row>
    <row r="189" spans="1:63">
      <c r="A189">
        <v>1084</v>
      </c>
      <c r="B189" t="s">
        <v>1172</v>
      </c>
      <c r="D189" t="s">
        <v>60</v>
      </c>
      <c r="E189">
        <v>1152244</v>
      </c>
      <c r="F189">
        <v>1153146</v>
      </c>
      <c r="G189" t="s">
        <v>74</v>
      </c>
      <c r="H189">
        <v>301</v>
      </c>
      <c r="I189" t="s">
        <v>85</v>
      </c>
      <c r="J189">
        <v>4</v>
      </c>
      <c r="K189" t="str">
        <f>HYPERLINK("Gene1084-zp_tree_all.dnd", "Gene1084-tree")</f>
        <v>Gene1084-tree</v>
      </c>
      <c r="L189">
        <v>1</v>
      </c>
      <c r="M189">
        <v>3</v>
      </c>
      <c r="N189">
        <v>1</v>
      </c>
      <c r="O189">
        <v>3</v>
      </c>
      <c r="P189">
        <v>0.75</v>
      </c>
      <c r="Q189" t="s">
        <v>65</v>
      </c>
      <c r="R189" t="s">
        <v>86</v>
      </c>
      <c r="S189" t="s">
        <v>66</v>
      </c>
      <c r="T189" t="s">
        <v>66</v>
      </c>
      <c r="U189">
        <v>0</v>
      </c>
      <c r="V189">
        <v>0</v>
      </c>
      <c r="W189">
        <v>9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9</v>
      </c>
      <c r="AH189">
        <v>0</v>
      </c>
      <c r="AI189">
        <v>4</v>
      </c>
      <c r="AJ189">
        <v>1</v>
      </c>
      <c r="AK189">
        <v>38</v>
      </c>
      <c r="AL189">
        <v>9</v>
      </c>
      <c r="AM189">
        <v>4</v>
      </c>
      <c r="AN189">
        <v>0</v>
      </c>
      <c r="AO189" t="s">
        <v>1174</v>
      </c>
      <c r="AP189" t="s">
        <v>68</v>
      </c>
      <c r="AQ189">
        <v>0.70499999999999996</v>
      </c>
      <c r="AR189" t="s">
        <v>69</v>
      </c>
      <c r="AS189">
        <v>42</v>
      </c>
      <c r="AT189">
        <v>9</v>
      </c>
      <c r="AU189">
        <v>2.8240000000000001E-2</v>
      </c>
      <c r="AV189">
        <v>-7.6600000000000001E-3</v>
      </c>
      <c r="AW189">
        <v>0.11404</v>
      </c>
      <c r="AX189">
        <v>-3.3329999999999999E-2</v>
      </c>
      <c r="AY189">
        <v>6.4900000000000001E-3</v>
      </c>
      <c r="AZ189">
        <v>-1.5499999999999999E-3</v>
      </c>
      <c r="BA189">
        <v>5.6930000000000001E-2</v>
      </c>
      <c r="BB189">
        <v>1</v>
      </c>
      <c r="BC189" t="s">
        <v>70</v>
      </c>
      <c r="BD189">
        <v>-0.47799999999999998</v>
      </c>
      <c r="BE189">
        <v>-0.47799999999999998</v>
      </c>
      <c r="BF189" t="s">
        <v>71</v>
      </c>
      <c r="BG189">
        <v>0.140142517814726</v>
      </c>
      <c r="BI189">
        <v>51</v>
      </c>
      <c r="BJ189">
        <v>5.6930000000000001E-2</v>
      </c>
      <c r="BK189">
        <v>0.140142517814726</v>
      </c>
    </row>
    <row r="190" spans="1:63">
      <c r="A190">
        <v>1085</v>
      </c>
      <c r="B190" t="s">
        <v>1175</v>
      </c>
      <c r="D190" t="s">
        <v>60</v>
      </c>
      <c r="E190">
        <v>1153265</v>
      </c>
      <c r="F190">
        <v>1153618</v>
      </c>
      <c r="G190" t="s">
        <v>74</v>
      </c>
      <c r="H190">
        <v>118</v>
      </c>
      <c r="I190" t="s">
        <v>63</v>
      </c>
      <c r="J190">
        <v>5</v>
      </c>
      <c r="K190" t="str">
        <f>HYPERLINK("Gene1085-zp_tree_all.dnd", "Gene1085-tree")</f>
        <v>Gene1085-tree</v>
      </c>
      <c r="L190">
        <v>3</v>
      </c>
      <c r="M190">
        <v>2</v>
      </c>
      <c r="N190">
        <v>3</v>
      </c>
      <c r="O190">
        <v>2</v>
      </c>
      <c r="P190">
        <v>0.4</v>
      </c>
      <c r="Q190" t="s">
        <v>86</v>
      </c>
      <c r="R190" t="s">
        <v>124</v>
      </c>
      <c r="S190" t="s">
        <v>66</v>
      </c>
      <c r="T190" t="s">
        <v>66</v>
      </c>
      <c r="U190">
        <v>0</v>
      </c>
      <c r="V190">
        <v>0</v>
      </c>
      <c r="W190">
        <v>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5</v>
      </c>
      <c r="AH190">
        <v>0</v>
      </c>
      <c r="AI190">
        <v>3</v>
      </c>
      <c r="AJ190">
        <v>2</v>
      </c>
      <c r="AK190">
        <v>10</v>
      </c>
      <c r="AL190">
        <v>2</v>
      </c>
      <c r="AM190">
        <v>5</v>
      </c>
      <c r="AN190">
        <v>3</v>
      </c>
      <c r="AO190" t="s">
        <v>1177</v>
      </c>
      <c r="AP190" t="s">
        <v>1178</v>
      </c>
      <c r="AQ190">
        <v>0.68500000000000005</v>
      </c>
      <c r="AR190" t="s">
        <v>69</v>
      </c>
      <c r="AS190">
        <v>15</v>
      </c>
      <c r="AT190">
        <v>5</v>
      </c>
      <c r="AU190">
        <v>2.7119999999999998E-2</v>
      </c>
      <c r="AV190">
        <v>-4.9300000000000004E-3</v>
      </c>
      <c r="AW190">
        <v>8.4290000000000004E-2</v>
      </c>
      <c r="AX190">
        <v>-1.469E-2</v>
      </c>
      <c r="AY190">
        <v>9.92E-3</v>
      </c>
      <c r="AZ190">
        <v>-2.1700000000000001E-3</v>
      </c>
      <c r="BA190">
        <v>0.11767</v>
      </c>
      <c r="BB190">
        <v>1</v>
      </c>
      <c r="BC190" t="s">
        <v>70</v>
      </c>
      <c r="BD190">
        <v>0</v>
      </c>
      <c r="BE190">
        <v>0</v>
      </c>
      <c r="BF190" t="s">
        <v>71</v>
      </c>
      <c r="BG190">
        <v>2.4691358024691301E-2</v>
      </c>
      <c r="BI190">
        <v>20</v>
      </c>
      <c r="BJ190">
        <v>0.11767</v>
      </c>
      <c r="BK190">
        <v>2.4691358024691301E-2</v>
      </c>
    </row>
    <row r="191" spans="1:63">
      <c r="A191">
        <v>1092</v>
      </c>
      <c r="B191" t="s">
        <v>1179</v>
      </c>
      <c r="D191" t="s">
        <v>60</v>
      </c>
      <c r="E191">
        <v>1162267</v>
      </c>
      <c r="F191">
        <v>1163127</v>
      </c>
      <c r="G191" t="s">
        <v>768</v>
      </c>
      <c r="H191">
        <v>287</v>
      </c>
      <c r="I191" t="s">
        <v>63</v>
      </c>
      <c r="J191">
        <v>5</v>
      </c>
      <c r="K191" t="str">
        <f>HYPERLINK("Gene1092-zp_tree_all.dnd", "Gene1092-tree")</f>
        <v>Gene1092-tree</v>
      </c>
      <c r="L191">
        <v>0</v>
      </c>
      <c r="M191">
        <v>5</v>
      </c>
      <c r="N191">
        <v>0</v>
      </c>
      <c r="O191">
        <v>5</v>
      </c>
      <c r="P191">
        <v>1</v>
      </c>
      <c r="Q191" t="s">
        <v>66</v>
      </c>
      <c r="R191" t="s">
        <v>96</v>
      </c>
      <c r="S191" t="s">
        <v>66</v>
      </c>
      <c r="T191" t="s">
        <v>66</v>
      </c>
      <c r="U191">
        <v>0</v>
      </c>
      <c r="V191">
        <v>0</v>
      </c>
      <c r="W191">
        <v>8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8</v>
      </c>
      <c r="AH191">
        <v>0</v>
      </c>
      <c r="AI191">
        <v>5</v>
      </c>
      <c r="AJ191">
        <v>1</v>
      </c>
      <c r="AK191">
        <v>34</v>
      </c>
      <c r="AL191">
        <v>6</v>
      </c>
      <c r="AM191">
        <v>22</v>
      </c>
      <c r="AN191">
        <v>2</v>
      </c>
      <c r="AO191" t="s">
        <v>1181</v>
      </c>
      <c r="AP191" t="s">
        <v>1182</v>
      </c>
      <c r="AQ191">
        <v>1.524</v>
      </c>
      <c r="AR191" t="s">
        <v>69</v>
      </c>
      <c r="AS191">
        <v>56</v>
      </c>
      <c r="AT191">
        <v>8</v>
      </c>
      <c r="AU191">
        <v>3.3680000000000002E-2</v>
      </c>
      <c r="AV191">
        <v>-5.6600000000000001E-3</v>
      </c>
      <c r="AW191">
        <v>0.14648</v>
      </c>
      <c r="AX191">
        <v>-2.6839999999999999E-2</v>
      </c>
      <c r="AY191">
        <v>5.4400000000000004E-3</v>
      </c>
      <c r="AZ191">
        <v>-5.8E-4</v>
      </c>
      <c r="BA191">
        <v>3.7159999999999999E-2</v>
      </c>
      <c r="BB191">
        <v>1</v>
      </c>
      <c r="BC191" t="s">
        <v>70</v>
      </c>
      <c r="BD191">
        <v>0.182</v>
      </c>
      <c r="BE191">
        <v>-8.5000000000000006E-2</v>
      </c>
      <c r="BF191" t="s">
        <v>71</v>
      </c>
      <c r="BG191">
        <v>8.7804878048780399E-2</v>
      </c>
      <c r="BI191">
        <v>64</v>
      </c>
      <c r="BJ191">
        <v>3.7159999999999999E-2</v>
      </c>
      <c r="BK191">
        <v>8.7804878048780399E-2</v>
      </c>
    </row>
    <row r="192" spans="1:63">
      <c r="A192">
        <v>1121</v>
      </c>
      <c r="B192" t="s">
        <v>1183</v>
      </c>
      <c r="D192" t="s">
        <v>60</v>
      </c>
      <c r="E192">
        <v>1188689</v>
      </c>
      <c r="F192">
        <v>1189528</v>
      </c>
      <c r="G192" t="s">
        <v>74</v>
      </c>
      <c r="H192">
        <v>280</v>
      </c>
      <c r="I192" t="s">
        <v>63</v>
      </c>
      <c r="J192">
        <v>5</v>
      </c>
      <c r="K192" t="str">
        <f>HYPERLINK("Gene1121-zp_tree_all.dnd", "Gene1121-tree")</f>
        <v>Gene1121-tree</v>
      </c>
      <c r="L192">
        <v>4</v>
      </c>
      <c r="M192">
        <v>1</v>
      </c>
      <c r="N192">
        <v>3</v>
      </c>
      <c r="O192">
        <v>1</v>
      </c>
      <c r="P192">
        <v>0.25</v>
      </c>
      <c r="Q192" t="s">
        <v>112</v>
      </c>
      <c r="R192" t="s">
        <v>65</v>
      </c>
      <c r="S192" t="s">
        <v>66</v>
      </c>
      <c r="T192" t="s">
        <v>66</v>
      </c>
      <c r="U192">
        <v>0</v>
      </c>
      <c r="V192">
        <v>0</v>
      </c>
      <c r="W192">
        <v>3</v>
      </c>
      <c r="X192">
        <v>0</v>
      </c>
      <c r="Y192">
        <v>0</v>
      </c>
      <c r="Z192">
        <v>0</v>
      </c>
      <c r="AA192">
        <v>0</v>
      </c>
      <c r="AB192">
        <v>2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4</v>
      </c>
      <c r="AJ192">
        <v>1</v>
      </c>
      <c r="AK192">
        <v>32</v>
      </c>
      <c r="AL192">
        <v>1</v>
      </c>
      <c r="AM192">
        <v>16</v>
      </c>
      <c r="AN192">
        <v>2</v>
      </c>
      <c r="AO192" t="s">
        <v>1185</v>
      </c>
      <c r="AP192" t="s">
        <v>1186</v>
      </c>
      <c r="AQ192">
        <v>1.8979999999999999</v>
      </c>
      <c r="AR192" t="s">
        <v>69</v>
      </c>
      <c r="AS192">
        <v>48</v>
      </c>
      <c r="AT192">
        <v>3</v>
      </c>
      <c r="AU192">
        <v>3.2539999999999999E-2</v>
      </c>
      <c r="AV192">
        <v>-4.0299999999999997E-3</v>
      </c>
      <c r="AW192">
        <v>0.13639000000000001</v>
      </c>
      <c r="AX192">
        <v>-1.6910000000000001E-2</v>
      </c>
      <c r="AY192">
        <v>2.8999999999999998E-3</v>
      </c>
      <c r="AZ192">
        <v>-4.8999999999999998E-4</v>
      </c>
      <c r="BA192">
        <v>2.1260000000000001E-2</v>
      </c>
      <c r="BB192">
        <v>1</v>
      </c>
      <c r="BC192" t="s">
        <v>70</v>
      </c>
      <c r="BD192">
        <v>0.61499999999999999</v>
      </c>
      <c r="BE192">
        <v>1.2999999999999999E-2</v>
      </c>
      <c r="BF192" t="s">
        <v>71</v>
      </c>
      <c r="BG192">
        <v>5.6000000000000001E-2</v>
      </c>
      <c r="BI192">
        <v>51</v>
      </c>
      <c r="BJ192">
        <v>2.1260000000000001E-2</v>
      </c>
      <c r="BK192">
        <v>5.6000000000000001E-2</v>
      </c>
    </row>
    <row r="193" spans="1:63">
      <c r="A193">
        <v>1141</v>
      </c>
      <c r="B193" t="s">
        <v>1193</v>
      </c>
      <c r="D193" t="s">
        <v>60</v>
      </c>
      <c r="E193">
        <v>1207597</v>
      </c>
      <c r="F193">
        <v>1207785</v>
      </c>
      <c r="G193" t="s">
        <v>1195</v>
      </c>
      <c r="H193">
        <v>63</v>
      </c>
      <c r="I193" t="s">
        <v>63</v>
      </c>
      <c r="J193">
        <v>5</v>
      </c>
      <c r="K193" t="str">
        <f>HYPERLINK("Gene1141-zp_tree_all.dnd", "Gene1141-tree")</f>
        <v>Gene1141-tree</v>
      </c>
      <c r="L193">
        <v>5</v>
      </c>
      <c r="M193">
        <v>0</v>
      </c>
      <c r="N193">
        <v>4</v>
      </c>
      <c r="O193">
        <v>0</v>
      </c>
      <c r="P193">
        <v>0</v>
      </c>
      <c r="Q193" t="s">
        <v>135</v>
      </c>
      <c r="R193" t="s">
        <v>66</v>
      </c>
      <c r="S193" t="s">
        <v>66</v>
      </c>
      <c r="T193" t="s">
        <v>66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3</v>
      </c>
      <c r="AJ193">
        <v>1</v>
      </c>
      <c r="AK193">
        <v>3</v>
      </c>
      <c r="AL193">
        <v>0</v>
      </c>
      <c r="AM193">
        <v>8</v>
      </c>
      <c r="AN193">
        <v>0</v>
      </c>
      <c r="AO193" t="s">
        <v>68</v>
      </c>
      <c r="AP193" t="s">
        <v>68</v>
      </c>
      <c r="AQ193">
        <v>0</v>
      </c>
      <c r="AR193" t="s">
        <v>69</v>
      </c>
      <c r="AS193">
        <v>11</v>
      </c>
      <c r="AT193">
        <v>0</v>
      </c>
      <c r="AU193">
        <v>3.4389999999999997E-2</v>
      </c>
      <c r="AV193">
        <v>-7.7600000000000004E-3</v>
      </c>
      <c r="AW193">
        <v>0.19636000000000001</v>
      </c>
      <c r="AX193">
        <v>-4.6240000000000003E-2</v>
      </c>
      <c r="AY193">
        <v>0</v>
      </c>
      <c r="AZ193">
        <v>0</v>
      </c>
      <c r="BA193">
        <v>0</v>
      </c>
      <c r="BB193">
        <v>1</v>
      </c>
      <c r="BC193" t="s">
        <v>70</v>
      </c>
      <c r="BD193">
        <v>1.3420000000000001</v>
      </c>
      <c r="BE193">
        <v>0.59599999999999997</v>
      </c>
      <c r="BF193" t="s">
        <v>71</v>
      </c>
      <c r="BG193">
        <v>2.5000000000000001E-2</v>
      </c>
      <c r="BI193">
        <v>11</v>
      </c>
      <c r="BJ193">
        <v>0</v>
      </c>
      <c r="BK193">
        <v>2.5000000000000001E-2</v>
      </c>
    </row>
    <row r="194" spans="1:63">
      <c r="A194">
        <v>1146</v>
      </c>
      <c r="B194" t="s">
        <v>1196</v>
      </c>
      <c r="D194" t="s">
        <v>60</v>
      </c>
      <c r="E194">
        <v>1211477</v>
      </c>
      <c r="F194">
        <v>1212460</v>
      </c>
      <c r="G194" t="s">
        <v>1198</v>
      </c>
      <c r="H194">
        <v>328</v>
      </c>
      <c r="I194" t="s">
        <v>63</v>
      </c>
      <c r="J194">
        <v>5</v>
      </c>
      <c r="K194" t="str">
        <f>HYPERLINK("Gene1146-zp_tree_all.dnd", "Gene1146-tree")</f>
        <v>Gene1146-tree</v>
      </c>
      <c r="L194">
        <v>3</v>
      </c>
      <c r="M194">
        <v>2</v>
      </c>
      <c r="N194">
        <v>2</v>
      </c>
      <c r="O194">
        <v>2</v>
      </c>
      <c r="P194">
        <v>0.5</v>
      </c>
      <c r="Q194" t="s">
        <v>185</v>
      </c>
      <c r="R194" t="s">
        <v>124</v>
      </c>
      <c r="S194" t="s">
        <v>66</v>
      </c>
      <c r="T194" t="s">
        <v>66</v>
      </c>
      <c r="U194">
        <v>0</v>
      </c>
      <c r="V194">
        <v>0</v>
      </c>
      <c r="W194">
        <v>5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4</v>
      </c>
      <c r="AH194">
        <v>0</v>
      </c>
      <c r="AI194">
        <v>4</v>
      </c>
      <c r="AJ194">
        <v>1</v>
      </c>
      <c r="AK194">
        <v>26</v>
      </c>
      <c r="AL194">
        <v>4</v>
      </c>
      <c r="AM194">
        <v>31</v>
      </c>
      <c r="AN194">
        <v>2</v>
      </c>
      <c r="AO194" t="s">
        <v>1199</v>
      </c>
      <c r="AP194" t="s">
        <v>1200</v>
      </c>
      <c r="AQ194">
        <v>0.90500000000000003</v>
      </c>
      <c r="AR194" t="s">
        <v>69</v>
      </c>
      <c r="AS194">
        <v>57</v>
      </c>
      <c r="AT194">
        <v>6</v>
      </c>
      <c r="AU194">
        <v>3.6920000000000001E-2</v>
      </c>
      <c r="AV194">
        <v>-6.6299999999999996E-3</v>
      </c>
      <c r="AW194">
        <v>0.17021</v>
      </c>
      <c r="AX194">
        <v>-3.2410000000000001E-2</v>
      </c>
      <c r="AY194">
        <v>4.3899999999999998E-3</v>
      </c>
      <c r="AZ194">
        <v>-3.3E-4</v>
      </c>
      <c r="BA194">
        <v>2.5780000000000001E-2</v>
      </c>
      <c r="BB194">
        <v>1</v>
      </c>
      <c r="BC194" t="s">
        <v>70</v>
      </c>
      <c r="BD194">
        <v>0.625</v>
      </c>
      <c r="BE194">
        <v>0.496</v>
      </c>
      <c r="BF194" t="s">
        <v>71</v>
      </c>
      <c r="BG194">
        <v>4.1942604856512099E-2</v>
      </c>
      <c r="BI194">
        <v>63</v>
      </c>
      <c r="BJ194">
        <v>2.5780000000000001E-2</v>
      </c>
      <c r="BK194">
        <v>4.1942604856512099E-2</v>
      </c>
    </row>
    <row r="195" spans="1:63">
      <c r="A195">
        <v>1150</v>
      </c>
      <c r="B195" t="s">
        <v>1201</v>
      </c>
      <c r="D195" t="s">
        <v>60</v>
      </c>
      <c r="E195">
        <v>1217326</v>
      </c>
      <c r="F195">
        <v>1218075</v>
      </c>
      <c r="G195" t="s">
        <v>74</v>
      </c>
      <c r="H195">
        <v>250</v>
      </c>
      <c r="I195" t="s">
        <v>63</v>
      </c>
      <c r="J195">
        <v>5</v>
      </c>
      <c r="K195" t="str">
        <f>HYPERLINK("Gene1150-zp_tree_all.dnd", "Gene1150-tree")</f>
        <v>Gene1150-tree</v>
      </c>
      <c r="L195">
        <v>4</v>
      </c>
      <c r="M195">
        <v>1</v>
      </c>
      <c r="N195">
        <v>4</v>
      </c>
      <c r="O195">
        <v>1</v>
      </c>
      <c r="P195">
        <v>0.2</v>
      </c>
      <c r="Q195" t="s">
        <v>64</v>
      </c>
      <c r="R195" t="s">
        <v>65</v>
      </c>
      <c r="S195" t="s">
        <v>66</v>
      </c>
      <c r="T195" t="s">
        <v>66</v>
      </c>
      <c r="U195">
        <v>0</v>
      </c>
      <c r="V195">
        <v>0</v>
      </c>
      <c r="W195">
        <v>5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4</v>
      </c>
      <c r="AH195">
        <v>0</v>
      </c>
      <c r="AI195">
        <v>5</v>
      </c>
      <c r="AJ195">
        <v>2</v>
      </c>
      <c r="AK195">
        <v>20</v>
      </c>
      <c r="AL195">
        <v>4</v>
      </c>
      <c r="AM195">
        <v>24</v>
      </c>
      <c r="AN195">
        <v>1</v>
      </c>
      <c r="AO195" t="s">
        <v>1203</v>
      </c>
      <c r="AP195" t="s">
        <v>1204</v>
      </c>
      <c r="AQ195">
        <v>0.433</v>
      </c>
      <c r="AR195" t="s">
        <v>69</v>
      </c>
      <c r="AS195">
        <v>44</v>
      </c>
      <c r="AT195">
        <v>5</v>
      </c>
      <c r="AU195">
        <v>3.1199999999999999E-2</v>
      </c>
      <c r="AV195">
        <v>-4.8599999999999997E-3</v>
      </c>
      <c r="AW195">
        <v>0.15443999999999999</v>
      </c>
      <c r="AX195">
        <v>-2.5239999999999999E-2</v>
      </c>
      <c r="AY195">
        <v>3.7200000000000002E-3</v>
      </c>
      <c r="AZ195">
        <v>-1.14E-3</v>
      </c>
      <c r="BA195">
        <v>2.409E-2</v>
      </c>
      <c r="BB195">
        <v>1</v>
      </c>
      <c r="BC195" t="s">
        <v>70</v>
      </c>
      <c r="BD195">
        <v>0.81299999999999994</v>
      </c>
      <c r="BE195">
        <v>0.67</v>
      </c>
      <c r="BF195" t="s">
        <v>71</v>
      </c>
      <c r="BG195">
        <v>0.161904761904761</v>
      </c>
      <c r="BI195">
        <v>49</v>
      </c>
      <c r="BJ195">
        <v>2.409E-2</v>
      </c>
      <c r="BK195">
        <v>0.161904761904761</v>
      </c>
    </row>
    <row r="196" spans="1:63">
      <c r="A196">
        <v>1153</v>
      </c>
      <c r="B196" t="s">
        <v>1205</v>
      </c>
      <c r="D196" t="s">
        <v>60</v>
      </c>
      <c r="E196">
        <v>1221594</v>
      </c>
      <c r="F196">
        <v>1222526</v>
      </c>
      <c r="G196" t="s">
        <v>1207</v>
      </c>
      <c r="H196">
        <v>311</v>
      </c>
      <c r="I196" t="s">
        <v>85</v>
      </c>
      <c r="J196">
        <v>4</v>
      </c>
      <c r="K196" t="str">
        <f>HYPERLINK("Gene1153-zp_tree_all.dnd", "Gene1153-tree")</f>
        <v>Gene1153-tree</v>
      </c>
      <c r="L196">
        <v>3</v>
      </c>
      <c r="M196">
        <v>1</v>
      </c>
      <c r="N196">
        <v>3</v>
      </c>
      <c r="O196">
        <v>1</v>
      </c>
      <c r="P196">
        <v>0.25</v>
      </c>
      <c r="Q196" t="s">
        <v>86</v>
      </c>
      <c r="R196" t="s">
        <v>65</v>
      </c>
      <c r="S196" t="s">
        <v>66</v>
      </c>
      <c r="T196" t="s">
        <v>66</v>
      </c>
      <c r="U196">
        <v>0</v>
      </c>
      <c r="V196">
        <v>0</v>
      </c>
      <c r="W196">
        <v>3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3</v>
      </c>
      <c r="AH196">
        <v>0</v>
      </c>
      <c r="AI196">
        <v>4</v>
      </c>
      <c r="AJ196">
        <v>1</v>
      </c>
      <c r="AK196">
        <v>45</v>
      </c>
      <c r="AL196">
        <v>3</v>
      </c>
      <c r="AM196">
        <v>1</v>
      </c>
      <c r="AN196">
        <v>0</v>
      </c>
      <c r="AO196" t="s">
        <v>1208</v>
      </c>
      <c r="AP196" t="s">
        <v>68</v>
      </c>
      <c r="AQ196">
        <v>0.42499999999999999</v>
      </c>
      <c r="AR196" t="s">
        <v>69</v>
      </c>
      <c r="AS196">
        <v>46</v>
      </c>
      <c r="AT196">
        <v>3</v>
      </c>
      <c r="AU196">
        <v>2.6079999999999999E-2</v>
      </c>
      <c r="AV196">
        <v>-8.0300000000000007E-3</v>
      </c>
      <c r="AW196">
        <v>0.1115</v>
      </c>
      <c r="AX196">
        <v>-3.4680000000000002E-2</v>
      </c>
      <c r="AY196">
        <v>2.14E-3</v>
      </c>
      <c r="AZ196">
        <v>-8.7000000000000001E-4</v>
      </c>
      <c r="BA196">
        <v>1.9179999999999999E-2</v>
      </c>
      <c r="BB196">
        <v>1</v>
      </c>
      <c r="BC196" t="s">
        <v>70</v>
      </c>
      <c r="BD196">
        <v>-0.73499999999999999</v>
      </c>
      <c r="BE196">
        <v>-0.73499999999999999</v>
      </c>
      <c r="BF196" t="s">
        <v>71</v>
      </c>
      <c r="BG196">
        <v>6.6985645933014301E-2</v>
      </c>
      <c r="BI196">
        <v>49</v>
      </c>
      <c r="BJ196">
        <v>1.9179999999999999E-2</v>
      </c>
      <c r="BK196">
        <v>6.6985645933014301E-2</v>
      </c>
    </row>
    <row r="197" spans="1:63">
      <c r="A197">
        <v>1154</v>
      </c>
      <c r="B197" t="s">
        <v>1209</v>
      </c>
      <c r="D197" t="s">
        <v>60</v>
      </c>
      <c r="E197">
        <v>1222533</v>
      </c>
      <c r="F197">
        <v>1223447</v>
      </c>
      <c r="G197" t="s">
        <v>1211</v>
      </c>
      <c r="H197">
        <v>305</v>
      </c>
      <c r="I197" t="s">
        <v>63</v>
      </c>
      <c r="J197">
        <v>5</v>
      </c>
      <c r="K197" t="str">
        <f>HYPERLINK("Gene1154-zp_tree_all.dnd", "Gene1154-tree")</f>
        <v>Gene1154-tree</v>
      </c>
      <c r="L197">
        <v>3</v>
      </c>
      <c r="M197">
        <v>2</v>
      </c>
      <c r="N197">
        <v>3</v>
      </c>
      <c r="O197">
        <v>2</v>
      </c>
      <c r="P197">
        <v>0.4</v>
      </c>
      <c r="Q197" t="s">
        <v>86</v>
      </c>
      <c r="R197" t="s">
        <v>124</v>
      </c>
      <c r="S197" t="s">
        <v>66</v>
      </c>
      <c r="T197" t="s">
        <v>66</v>
      </c>
      <c r="U197">
        <v>0</v>
      </c>
      <c r="V197">
        <v>0</v>
      </c>
      <c r="W197">
        <v>3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2</v>
      </c>
      <c r="AH197">
        <v>0</v>
      </c>
      <c r="AI197">
        <v>5</v>
      </c>
      <c r="AJ197">
        <v>2</v>
      </c>
      <c r="AK197">
        <v>32</v>
      </c>
      <c r="AL197">
        <v>2</v>
      </c>
      <c r="AM197">
        <v>22</v>
      </c>
      <c r="AN197">
        <v>1</v>
      </c>
      <c r="AO197" t="s">
        <v>1212</v>
      </c>
      <c r="AP197" t="s">
        <v>1213</v>
      </c>
      <c r="AQ197">
        <v>0.313</v>
      </c>
      <c r="AR197" t="s">
        <v>69</v>
      </c>
      <c r="AS197">
        <v>54</v>
      </c>
      <c r="AT197">
        <v>3</v>
      </c>
      <c r="AU197">
        <v>2.9180000000000001E-2</v>
      </c>
      <c r="AV197">
        <v>-3.3E-3</v>
      </c>
      <c r="AW197">
        <v>0.12734999999999999</v>
      </c>
      <c r="AX197">
        <v>-1.5219999999999999E-2</v>
      </c>
      <c r="AY197">
        <v>2.0100000000000001E-3</v>
      </c>
      <c r="AZ197">
        <v>-3.6000000000000002E-4</v>
      </c>
      <c r="BA197">
        <v>1.5810000000000001E-2</v>
      </c>
      <c r="BB197">
        <v>1</v>
      </c>
      <c r="BC197" t="s">
        <v>70</v>
      </c>
      <c r="BD197">
        <v>0.374</v>
      </c>
      <c r="BE197">
        <v>0.22600000000000001</v>
      </c>
      <c r="BF197" t="s">
        <v>71</v>
      </c>
      <c r="BG197">
        <v>6.5693430656934296E-2</v>
      </c>
      <c r="BI197">
        <v>57</v>
      </c>
      <c r="BJ197">
        <v>1.5810000000000001E-2</v>
      </c>
      <c r="BK197">
        <v>6.5693430656934296E-2</v>
      </c>
    </row>
    <row r="198" spans="1:63">
      <c r="A198">
        <v>1155</v>
      </c>
      <c r="B198" t="s">
        <v>1214</v>
      </c>
      <c r="D198" t="s">
        <v>60</v>
      </c>
      <c r="E198">
        <v>1223455</v>
      </c>
      <c r="F198">
        <v>1224528</v>
      </c>
      <c r="G198" t="s">
        <v>1216</v>
      </c>
      <c r="H198">
        <v>358</v>
      </c>
      <c r="I198" t="s">
        <v>85</v>
      </c>
      <c r="J198">
        <v>4</v>
      </c>
      <c r="K198" t="str">
        <f>HYPERLINK("Gene1155-zp_tree_all.dnd", "Gene1155-tree")</f>
        <v>Gene1155-tree</v>
      </c>
      <c r="L198">
        <v>1</v>
      </c>
      <c r="M198">
        <v>3</v>
      </c>
      <c r="N198">
        <v>1</v>
      </c>
      <c r="O198">
        <v>3</v>
      </c>
      <c r="P198">
        <v>0.75</v>
      </c>
      <c r="Q198" t="s">
        <v>65</v>
      </c>
      <c r="R198" t="s">
        <v>86</v>
      </c>
      <c r="S198" t="s">
        <v>66</v>
      </c>
      <c r="T198" t="s">
        <v>66</v>
      </c>
      <c r="U198">
        <v>0</v>
      </c>
      <c r="V198">
        <v>0</v>
      </c>
      <c r="W198">
        <v>5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4</v>
      </c>
      <c r="AH198">
        <v>0</v>
      </c>
      <c r="AI198">
        <v>4</v>
      </c>
      <c r="AJ198">
        <v>1</v>
      </c>
      <c r="AK198">
        <v>53</v>
      </c>
      <c r="AL198">
        <v>4</v>
      </c>
      <c r="AM198">
        <v>8</v>
      </c>
      <c r="AN198">
        <v>1</v>
      </c>
      <c r="AO198" t="s">
        <v>1217</v>
      </c>
      <c r="AP198" t="s">
        <v>1218</v>
      </c>
      <c r="AQ198">
        <v>0.95099999999999996</v>
      </c>
      <c r="AR198" t="s">
        <v>69</v>
      </c>
      <c r="AS198">
        <v>61</v>
      </c>
      <c r="AT198">
        <v>5</v>
      </c>
      <c r="AU198">
        <v>3.1040000000000002E-2</v>
      </c>
      <c r="AV198">
        <v>-5.9800000000000001E-3</v>
      </c>
      <c r="AW198">
        <v>0.13578999999999999</v>
      </c>
      <c r="AX198">
        <v>-3.0130000000000001E-2</v>
      </c>
      <c r="AY198">
        <v>3.2599999999999999E-3</v>
      </c>
      <c r="AZ198">
        <v>-4.6999999999999999E-4</v>
      </c>
      <c r="BA198">
        <v>2.3980000000000001E-2</v>
      </c>
      <c r="BB198">
        <v>1</v>
      </c>
      <c r="BC198" t="s">
        <v>70</v>
      </c>
      <c r="BD198">
        <v>-0.15</v>
      </c>
      <c r="BE198">
        <v>-0.45800000000000002</v>
      </c>
      <c r="BF198" t="s">
        <v>71</v>
      </c>
      <c r="BG198">
        <v>0.1163708086785</v>
      </c>
      <c r="BI198">
        <v>66</v>
      </c>
      <c r="BJ198">
        <v>2.3980000000000001E-2</v>
      </c>
      <c r="BK198">
        <v>0.1163708086785</v>
      </c>
    </row>
    <row r="199" spans="1:63">
      <c r="A199">
        <v>1156</v>
      </c>
      <c r="B199" t="s">
        <v>1219</v>
      </c>
      <c r="D199" t="s">
        <v>60</v>
      </c>
      <c r="E199">
        <v>1224533</v>
      </c>
      <c r="F199">
        <v>1225447</v>
      </c>
      <c r="G199" t="s">
        <v>1221</v>
      </c>
      <c r="H199">
        <v>305</v>
      </c>
      <c r="I199" t="s">
        <v>85</v>
      </c>
      <c r="J199">
        <v>4</v>
      </c>
      <c r="K199" t="str">
        <f>HYPERLINK("Gene1156-zp_tree_all.dnd", "Gene1156-tree")</f>
        <v>Gene1156-tree</v>
      </c>
      <c r="L199">
        <v>3</v>
      </c>
      <c r="M199">
        <v>1</v>
      </c>
      <c r="N199">
        <v>3</v>
      </c>
      <c r="O199">
        <v>1</v>
      </c>
      <c r="P199">
        <v>0.25</v>
      </c>
      <c r="Q199" t="s">
        <v>86</v>
      </c>
      <c r="R199" t="s">
        <v>65</v>
      </c>
      <c r="S199" t="s">
        <v>66</v>
      </c>
      <c r="T199" t="s">
        <v>66</v>
      </c>
      <c r="U199">
        <v>0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4</v>
      </c>
      <c r="AH199">
        <v>0</v>
      </c>
      <c r="AI199">
        <v>4</v>
      </c>
      <c r="AJ199">
        <v>1</v>
      </c>
      <c r="AK199">
        <v>56</v>
      </c>
      <c r="AL199">
        <v>4</v>
      </c>
      <c r="AM199">
        <v>2</v>
      </c>
      <c r="AN199">
        <v>0</v>
      </c>
      <c r="AO199" t="s">
        <v>1222</v>
      </c>
      <c r="AP199" t="s">
        <v>68</v>
      </c>
      <c r="AQ199">
        <v>0.56000000000000005</v>
      </c>
      <c r="AR199" t="s">
        <v>69</v>
      </c>
      <c r="AS199">
        <v>58</v>
      </c>
      <c r="AT199">
        <v>4</v>
      </c>
      <c r="AU199">
        <v>3.2969999999999999E-2</v>
      </c>
      <c r="AV199">
        <v>-6.1000000000000004E-3</v>
      </c>
      <c r="AW199">
        <v>0.15112</v>
      </c>
      <c r="AX199">
        <v>-2.7789999999999999E-2</v>
      </c>
      <c r="AY199">
        <v>2.8500000000000001E-3</v>
      </c>
      <c r="AZ199">
        <v>-1.16E-3</v>
      </c>
      <c r="BA199">
        <v>1.883E-2</v>
      </c>
      <c r="BB199">
        <v>1</v>
      </c>
      <c r="BC199" t="s">
        <v>70</v>
      </c>
      <c r="BD199">
        <v>-0.48399999999999999</v>
      </c>
      <c r="BE199">
        <v>-0.64900000000000002</v>
      </c>
      <c r="BF199" t="s">
        <v>71</v>
      </c>
      <c r="BG199">
        <v>9.7087378640776698E-2</v>
      </c>
      <c r="BI199">
        <v>62</v>
      </c>
      <c r="BJ199">
        <v>1.883E-2</v>
      </c>
      <c r="BK199">
        <v>9.7087378640776698E-2</v>
      </c>
    </row>
    <row r="200" spans="1:63">
      <c r="A200">
        <v>1158</v>
      </c>
      <c r="B200" t="s">
        <v>1223</v>
      </c>
      <c r="D200" t="s">
        <v>60</v>
      </c>
      <c r="E200">
        <v>1226938</v>
      </c>
      <c r="F200">
        <v>1227513</v>
      </c>
      <c r="G200" t="s">
        <v>1225</v>
      </c>
      <c r="H200">
        <v>192</v>
      </c>
      <c r="I200" t="s">
        <v>63</v>
      </c>
      <c r="J200">
        <v>5</v>
      </c>
      <c r="K200" t="str">
        <f>HYPERLINK("Gene1158-zp_tree_all.dnd", "Gene1158-tree")</f>
        <v>Gene1158-tree</v>
      </c>
      <c r="L200">
        <v>4</v>
      </c>
      <c r="M200">
        <v>1</v>
      </c>
      <c r="N200">
        <v>4</v>
      </c>
      <c r="O200">
        <v>1</v>
      </c>
      <c r="P200">
        <v>0.2</v>
      </c>
      <c r="Q200" t="s">
        <v>64</v>
      </c>
      <c r="R200" t="s">
        <v>65</v>
      </c>
      <c r="S200" t="s">
        <v>66</v>
      </c>
      <c r="T200" t="s">
        <v>66</v>
      </c>
      <c r="U200">
        <v>0</v>
      </c>
      <c r="V200">
        <v>0</v>
      </c>
      <c r="W200">
        <v>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2</v>
      </c>
      <c r="AH200">
        <v>0</v>
      </c>
      <c r="AI200">
        <v>5</v>
      </c>
      <c r="AJ200">
        <v>2</v>
      </c>
      <c r="AK200">
        <v>9</v>
      </c>
      <c r="AL200">
        <v>2</v>
      </c>
      <c r="AM200">
        <v>9</v>
      </c>
      <c r="AN200">
        <v>0</v>
      </c>
      <c r="AO200" t="s">
        <v>1226</v>
      </c>
      <c r="AP200" t="s">
        <v>68</v>
      </c>
      <c r="AQ200">
        <v>0.505</v>
      </c>
      <c r="AR200" t="s">
        <v>69</v>
      </c>
      <c r="AS200">
        <v>18</v>
      </c>
      <c r="AT200">
        <v>2</v>
      </c>
      <c r="AU200">
        <v>1.6320000000000001E-2</v>
      </c>
      <c r="AV200">
        <v>-1.72E-3</v>
      </c>
      <c r="AW200">
        <v>7.9289999999999999E-2</v>
      </c>
      <c r="AX200">
        <v>-9.9100000000000004E-3</v>
      </c>
      <c r="AY200">
        <v>1.74E-3</v>
      </c>
      <c r="AZ200">
        <v>-6.4999999999999997E-4</v>
      </c>
      <c r="BA200">
        <v>2.196E-2</v>
      </c>
      <c r="BB200">
        <v>1</v>
      </c>
      <c r="BC200" t="s">
        <v>70</v>
      </c>
      <c r="BD200">
        <v>0.22700000000000001</v>
      </c>
      <c r="BE200">
        <v>0.22700000000000001</v>
      </c>
      <c r="BF200" t="s">
        <v>71</v>
      </c>
      <c r="BG200">
        <v>0.21266968325791799</v>
      </c>
      <c r="BI200">
        <v>20</v>
      </c>
      <c r="BJ200">
        <v>2.196E-2</v>
      </c>
      <c r="BK200">
        <v>0.21266968325791799</v>
      </c>
    </row>
    <row r="201" spans="1:63">
      <c r="A201">
        <v>1159</v>
      </c>
      <c r="B201" t="s">
        <v>1227</v>
      </c>
      <c r="D201" t="s">
        <v>60</v>
      </c>
      <c r="E201">
        <v>1227697</v>
      </c>
      <c r="F201">
        <v>1228089</v>
      </c>
      <c r="G201" t="s">
        <v>1229</v>
      </c>
      <c r="H201">
        <v>131</v>
      </c>
      <c r="I201" t="s">
        <v>63</v>
      </c>
      <c r="J201">
        <v>5</v>
      </c>
      <c r="K201" t="str">
        <f>HYPERLINK("Gene1159-zp_tree_all.dnd", "Gene1159-tree")</f>
        <v>Gene1159-tree</v>
      </c>
      <c r="L201">
        <v>3</v>
      </c>
      <c r="M201">
        <v>2</v>
      </c>
      <c r="N201">
        <v>3</v>
      </c>
      <c r="O201">
        <v>2</v>
      </c>
      <c r="P201">
        <v>0.4</v>
      </c>
      <c r="Q201" t="s">
        <v>86</v>
      </c>
      <c r="R201" t="s">
        <v>124</v>
      </c>
      <c r="S201" t="s">
        <v>66</v>
      </c>
      <c r="T201" t="s">
        <v>66</v>
      </c>
      <c r="U201">
        <v>1</v>
      </c>
      <c r="V201">
        <v>2</v>
      </c>
      <c r="W201">
        <v>1</v>
      </c>
      <c r="X201">
        <v>0.66666999999999998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2</v>
      </c>
      <c r="AE201">
        <v>0</v>
      </c>
      <c r="AF201">
        <v>2</v>
      </c>
      <c r="AG201">
        <v>0</v>
      </c>
      <c r="AH201">
        <v>1</v>
      </c>
      <c r="AI201">
        <v>3</v>
      </c>
      <c r="AJ201">
        <v>2</v>
      </c>
      <c r="AK201">
        <v>7</v>
      </c>
      <c r="AL201">
        <v>1</v>
      </c>
      <c r="AM201">
        <v>5</v>
      </c>
      <c r="AN201">
        <v>2</v>
      </c>
      <c r="AO201" t="s">
        <v>1230</v>
      </c>
      <c r="AP201" t="s">
        <v>1231</v>
      </c>
      <c r="AQ201">
        <v>1.2849999999999999</v>
      </c>
      <c r="AR201" t="s">
        <v>69</v>
      </c>
      <c r="AS201">
        <v>12</v>
      </c>
      <c r="AT201">
        <v>3</v>
      </c>
      <c r="AU201">
        <v>1.7809999999999999E-2</v>
      </c>
      <c r="AV201">
        <v>-2.49E-3</v>
      </c>
      <c r="AW201">
        <v>7.0000000000000007E-2</v>
      </c>
      <c r="AX201">
        <v>-1.09E-2</v>
      </c>
      <c r="AY201">
        <v>3.9399999999999999E-3</v>
      </c>
      <c r="AZ201">
        <v>-6.2E-4</v>
      </c>
      <c r="BA201">
        <v>5.6340000000000001E-2</v>
      </c>
      <c r="BB201">
        <v>1</v>
      </c>
      <c r="BC201" t="s">
        <v>70</v>
      </c>
      <c r="BD201">
        <v>0.30399999999999999</v>
      </c>
      <c r="BE201">
        <v>0.30399999999999999</v>
      </c>
      <c r="BF201" t="s">
        <v>71</v>
      </c>
      <c r="BG201">
        <v>-2.40963855421686E-2</v>
      </c>
      <c r="BI201">
        <v>15</v>
      </c>
      <c r="BJ201">
        <v>5.6340000000000001E-2</v>
      </c>
      <c r="BK201">
        <v>-2.40963855421686E-2</v>
      </c>
    </row>
    <row r="202" spans="1:63">
      <c r="A202">
        <v>1161</v>
      </c>
      <c r="B202" t="s">
        <v>1232</v>
      </c>
      <c r="D202" t="s">
        <v>60</v>
      </c>
      <c r="E202">
        <v>1229068</v>
      </c>
      <c r="F202">
        <v>1229721</v>
      </c>
      <c r="G202" t="s">
        <v>1234</v>
      </c>
      <c r="H202">
        <v>218</v>
      </c>
      <c r="I202" t="s">
        <v>63</v>
      </c>
      <c r="J202">
        <v>5</v>
      </c>
      <c r="K202" t="str">
        <f>HYPERLINK("Gene1161-zp_tree_all.dnd", "Gene1161-tree")</f>
        <v>Gene1161-tree</v>
      </c>
      <c r="L202">
        <v>0</v>
      </c>
      <c r="M202">
        <v>5</v>
      </c>
      <c r="N202">
        <v>0</v>
      </c>
      <c r="O202">
        <v>4</v>
      </c>
      <c r="P202">
        <v>1</v>
      </c>
      <c r="Q202" t="s">
        <v>66</v>
      </c>
      <c r="R202" t="s">
        <v>135</v>
      </c>
      <c r="S202">
        <v>3.1949999999999998</v>
      </c>
      <c r="T202" t="s">
        <v>69</v>
      </c>
      <c r="U202">
        <v>0</v>
      </c>
      <c r="V202">
        <v>0</v>
      </c>
      <c r="W202">
        <v>5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5</v>
      </c>
      <c r="AH202">
        <v>0</v>
      </c>
      <c r="AI202">
        <v>3</v>
      </c>
      <c r="AJ202">
        <v>1</v>
      </c>
      <c r="AK202">
        <v>5</v>
      </c>
      <c r="AL202">
        <v>4</v>
      </c>
      <c r="AM202">
        <v>5</v>
      </c>
      <c r="AN202">
        <v>1</v>
      </c>
      <c r="AO202" t="s">
        <v>1235</v>
      </c>
      <c r="AP202" t="s">
        <v>1236</v>
      </c>
      <c r="AQ202">
        <v>2.8929999999999998</v>
      </c>
      <c r="AR202" t="s">
        <v>239</v>
      </c>
      <c r="AS202">
        <v>10</v>
      </c>
      <c r="AT202">
        <v>5</v>
      </c>
      <c r="AU202">
        <v>1.2999999999999999E-2</v>
      </c>
      <c r="AV202">
        <v>-2.0600000000000002E-3</v>
      </c>
      <c r="AW202">
        <v>4.4940000000000001E-2</v>
      </c>
      <c r="AX202">
        <v>-8.5299999999999994E-3</v>
      </c>
      <c r="AY202">
        <v>5.1500000000000001E-3</v>
      </c>
      <c r="AZ202">
        <v>-7.5000000000000002E-4</v>
      </c>
      <c r="BA202">
        <v>0.11469</v>
      </c>
      <c r="BB202">
        <v>1</v>
      </c>
      <c r="BC202" t="s">
        <v>70</v>
      </c>
      <c r="BD202">
        <v>0</v>
      </c>
      <c r="BE202">
        <v>0</v>
      </c>
      <c r="BF202" t="s">
        <v>71</v>
      </c>
      <c r="BG202">
        <v>0.14828897338402999</v>
      </c>
      <c r="BI202">
        <v>15</v>
      </c>
      <c r="BJ202">
        <v>0.11469</v>
      </c>
      <c r="BK202">
        <v>0.14828897338402999</v>
      </c>
    </row>
    <row r="203" spans="1:63">
      <c r="A203">
        <v>1169</v>
      </c>
      <c r="B203" t="s">
        <v>1243</v>
      </c>
      <c r="D203" t="s">
        <v>60</v>
      </c>
      <c r="E203">
        <v>1236609</v>
      </c>
      <c r="F203">
        <v>1236974</v>
      </c>
      <c r="G203" t="s">
        <v>74</v>
      </c>
      <c r="H203">
        <v>122</v>
      </c>
      <c r="I203" t="s">
        <v>63</v>
      </c>
      <c r="J203">
        <v>5</v>
      </c>
      <c r="K203" t="str">
        <f>HYPERLINK("Gene1169-zp_tree_all.dnd", "Gene1169-tree")</f>
        <v>Gene1169-tree</v>
      </c>
      <c r="L203">
        <v>0</v>
      </c>
      <c r="M203">
        <v>5</v>
      </c>
      <c r="N203">
        <v>0</v>
      </c>
      <c r="O203">
        <v>5</v>
      </c>
      <c r="P203">
        <v>1</v>
      </c>
      <c r="Q203" t="s">
        <v>66</v>
      </c>
      <c r="R203" t="s">
        <v>96</v>
      </c>
      <c r="S203" t="s">
        <v>66</v>
      </c>
      <c r="T203" t="s">
        <v>66</v>
      </c>
      <c r="U203">
        <v>1</v>
      </c>
      <c r="V203">
        <v>2</v>
      </c>
      <c r="W203">
        <v>7</v>
      </c>
      <c r="X203">
        <v>0.22222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2</v>
      </c>
      <c r="AF203">
        <v>2</v>
      </c>
      <c r="AG203">
        <v>7</v>
      </c>
      <c r="AH203">
        <v>0.22222</v>
      </c>
      <c r="AI203">
        <v>4</v>
      </c>
      <c r="AJ203">
        <v>2</v>
      </c>
      <c r="AK203">
        <v>5</v>
      </c>
      <c r="AL203">
        <v>5</v>
      </c>
      <c r="AM203">
        <v>8</v>
      </c>
      <c r="AN203">
        <v>4</v>
      </c>
      <c r="AO203" t="s">
        <v>1245</v>
      </c>
      <c r="AP203" t="s">
        <v>1246</v>
      </c>
      <c r="AQ203">
        <v>0.71099999999999997</v>
      </c>
      <c r="AR203" t="s">
        <v>69</v>
      </c>
      <c r="AS203">
        <v>13</v>
      </c>
      <c r="AT203">
        <v>9</v>
      </c>
      <c r="AU203">
        <v>3.0030000000000001E-2</v>
      </c>
      <c r="AV203">
        <v>-5.4999999999999997E-3</v>
      </c>
      <c r="AW203">
        <v>9.0480000000000005E-2</v>
      </c>
      <c r="AX203">
        <v>-2.027E-2</v>
      </c>
      <c r="AY203">
        <v>1.566E-2</v>
      </c>
      <c r="AZ203">
        <v>-2.2200000000000002E-3</v>
      </c>
      <c r="BA203">
        <v>0.17311000000000001</v>
      </c>
      <c r="BB203">
        <v>1</v>
      </c>
      <c r="BC203" t="s">
        <v>70</v>
      </c>
      <c r="BD203">
        <v>0.629</v>
      </c>
      <c r="BE203">
        <v>0.16900000000000001</v>
      </c>
      <c r="BF203" t="s">
        <v>71</v>
      </c>
      <c r="BG203">
        <v>0.164383561643835</v>
      </c>
      <c r="BI203">
        <v>22</v>
      </c>
      <c r="BJ203">
        <v>0.17311000000000001</v>
      </c>
      <c r="BK203">
        <v>0.164383561643835</v>
      </c>
    </row>
    <row r="204" spans="1:63">
      <c r="A204">
        <v>1170</v>
      </c>
      <c r="B204" t="s">
        <v>1247</v>
      </c>
      <c r="D204" t="s">
        <v>60</v>
      </c>
      <c r="E204">
        <v>1237006</v>
      </c>
      <c r="F204">
        <v>1237638</v>
      </c>
      <c r="G204" t="s">
        <v>1249</v>
      </c>
      <c r="H204">
        <v>211</v>
      </c>
      <c r="I204" t="s">
        <v>85</v>
      </c>
      <c r="J204">
        <v>4</v>
      </c>
      <c r="K204" t="str">
        <f>HYPERLINK("Gene1170-zp_tree_all.dnd", "Gene1170-tree")</f>
        <v>Gene1170-tree</v>
      </c>
      <c r="L204">
        <v>3</v>
      </c>
      <c r="M204">
        <v>1</v>
      </c>
      <c r="N204">
        <v>3</v>
      </c>
      <c r="O204">
        <v>1</v>
      </c>
      <c r="P204">
        <v>0.25</v>
      </c>
      <c r="Q204" t="s">
        <v>86</v>
      </c>
      <c r="R204" t="s">
        <v>65</v>
      </c>
      <c r="S204" t="s">
        <v>66</v>
      </c>
      <c r="T204" t="s">
        <v>66</v>
      </c>
      <c r="U204">
        <v>0</v>
      </c>
      <c r="V204">
        <v>0</v>
      </c>
      <c r="W204">
        <v>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2</v>
      </c>
      <c r="AH204">
        <v>0</v>
      </c>
      <c r="AI204">
        <v>4</v>
      </c>
      <c r="AJ204">
        <v>0</v>
      </c>
      <c r="AK204">
        <v>35</v>
      </c>
      <c r="AL204">
        <v>2</v>
      </c>
      <c r="AM204">
        <v>0</v>
      </c>
      <c r="AN204">
        <v>0</v>
      </c>
      <c r="AO204" t="s">
        <v>1250</v>
      </c>
      <c r="AP204" t="s">
        <v>68</v>
      </c>
      <c r="AQ204">
        <v>0.48399999999999999</v>
      </c>
      <c r="AR204" t="s">
        <v>69</v>
      </c>
      <c r="AS204">
        <v>35</v>
      </c>
      <c r="AT204">
        <v>2</v>
      </c>
      <c r="AU204">
        <v>2.9229999999999999E-2</v>
      </c>
      <c r="AV204">
        <v>-7.2300000000000003E-3</v>
      </c>
      <c r="AW204">
        <v>0.14355000000000001</v>
      </c>
      <c r="AX204">
        <v>-3.635E-2</v>
      </c>
      <c r="AY204">
        <v>2.0300000000000001E-3</v>
      </c>
      <c r="AZ204">
        <v>-8.3000000000000001E-4</v>
      </c>
      <c r="BA204">
        <v>1.413E-2</v>
      </c>
      <c r="BB204">
        <v>1</v>
      </c>
      <c r="BC204" t="s">
        <v>70</v>
      </c>
      <c r="BD204">
        <v>-0.86399999999999999</v>
      </c>
      <c r="BE204">
        <v>-0.86399999999999999</v>
      </c>
      <c r="BF204" t="s">
        <v>71</v>
      </c>
      <c r="BG204">
        <v>0.12802768166089901</v>
      </c>
      <c r="BI204">
        <v>37</v>
      </c>
      <c r="BJ204">
        <v>1.413E-2</v>
      </c>
      <c r="BK204">
        <v>0.12802768166089901</v>
      </c>
    </row>
    <row r="205" spans="1:63">
      <c r="A205">
        <v>1171</v>
      </c>
      <c r="B205" t="s">
        <v>1251</v>
      </c>
      <c r="D205" t="s">
        <v>60</v>
      </c>
      <c r="E205">
        <v>1237660</v>
      </c>
      <c r="F205">
        <v>1238457</v>
      </c>
      <c r="G205" t="s">
        <v>1253</v>
      </c>
      <c r="H205">
        <v>266</v>
      </c>
      <c r="I205" t="s">
        <v>85</v>
      </c>
      <c r="J205">
        <v>4</v>
      </c>
      <c r="K205" t="str">
        <f>HYPERLINK("Gene1171-zp_tree_all.dnd", "Gene1171-tree")</f>
        <v>Gene1171-tree</v>
      </c>
      <c r="L205">
        <v>3</v>
      </c>
      <c r="M205">
        <v>1</v>
      </c>
      <c r="N205">
        <v>3</v>
      </c>
      <c r="O205">
        <v>1</v>
      </c>
      <c r="P205">
        <v>0.25</v>
      </c>
      <c r="Q205" t="s">
        <v>86</v>
      </c>
      <c r="R205" t="s">
        <v>65</v>
      </c>
      <c r="S205" t="s">
        <v>66</v>
      </c>
      <c r="T205" t="s">
        <v>66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4</v>
      </c>
      <c r="AJ205">
        <v>0</v>
      </c>
      <c r="AK205">
        <v>44</v>
      </c>
      <c r="AL205">
        <v>1</v>
      </c>
      <c r="AM205">
        <v>0</v>
      </c>
      <c r="AN205">
        <v>0</v>
      </c>
      <c r="AO205" t="s">
        <v>1254</v>
      </c>
      <c r="AP205" t="s">
        <v>68</v>
      </c>
      <c r="AQ205">
        <v>0.41199999999999998</v>
      </c>
      <c r="AR205" t="s">
        <v>69</v>
      </c>
      <c r="AS205">
        <v>44</v>
      </c>
      <c r="AT205">
        <v>1</v>
      </c>
      <c r="AU205">
        <v>2.8199999999999999E-2</v>
      </c>
      <c r="AV205">
        <v>-8.8299999999999993E-3</v>
      </c>
      <c r="AW205">
        <v>0.13721</v>
      </c>
      <c r="AX205">
        <v>-4.4240000000000002E-2</v>
      </c>
      <c r="AY205">
        <v>8.1999999999999998E-4</v>
      </c>
      <c r="AZ205">
        <v>-3.3E-4</v>
      </c>
      <c r="BA205">
        <v>5.9500000000000004E-3</v>
      </c>
      <c r="BB205">
        <v>1</v>
      </c>
      <c r="BC205" t="s">
        <v>70</v>
      </c>
      <c r="BD205">
        <v>-0.86599999999999999</v>
      </c>
      <c r="BE205">
        <v>-0.86599999999999999</v>
      </c>
      <c r="BF205" t="s">
        <v>71</v>
      </c>
      <c r="BG205">
        <v>-1.11731843575419E-2</v>
      </c>
      <c r="BI205">
        <v>45</v>
      </c>
      <c r="BJ205">
        <v>5.9500000000000004E-3</v>
      </c>
      <c r="BK205">
        <v>-1.11731843575419E-2</v>
      </c>
    </row>
    <row r="206" spans="1:63">
      <c r="A206">
        <v>1194</v>
      </c>
      <c r="B206" t="s">
        <v>1258</v>
      </c>
      <c r="D206" t="s">
        <v>60</v>
      </c>
      <c r="E206">
        <v>1256109</v>
      </c>
      <c r="F206">
        <v>1256360</v>
      </c>
      <c r="G206" t="s">
        <v>74</v>
      </c>
      <c r="H206">
        <v>84</v>
      </c>
      <c r="I206" t="s">
        <v>106</v>
      </c>
      <c r="J206">
        <v>4</v>
      </c>
      <c r="K206" t="str">
        <f>HYPERLINK("Gene1194-zp_tree_all.dnd", "Gene1194-tree")</f>
        <v>Gene1194-tree</v>
      </c>
      <c r="L206">
        <v>3</v>
      </c>
      <c r="M206">
        <v>1</v>
      </c>
      <c r="N206">
        <v>3</v>
      </c>
      <c r="O206">
        <v>1</v>
      </c>
      <c r="P206">
        <v>0.25</v>
      </c>
      <c r="Q206" t="s">
        <v>86</v>
      </c>
      <c r="R206" t="s">
        <v>65</v>
      </c>
      <c r="S206" t="s">
        <v>66</v>
      </c>
      <c r="T206" t="s">
        <v>66</v>
      </c>
      <c r="U206">
        <v>0</v>
      </c>
      <c r="V206">
        <v>0</v>
      </c>
      <c r="W206">
        <v>3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3</v>
      </c>
      <c r="AH206">
        <v>0</v>
      </c>
      <c r="AI206">
        <v>4</v>
      </c>
      <c r="AJ206">
        <v>1</v>
      </c>
      <c r="AK206">
        <v>12</v>
      </c>
      <c r="AL206">
        <v>3</v>
      </c>
      <c r="AM206">
        <v>1</v>
      </c>
      <c r="AN206">
        <v>0</v>
      </c>
      <c r="AO206" t="s">
        <v>1260</v>
      </c>
      <c r="AP206" t="s">
        <v>68</v>
      </c>
      <c r="AQ206">
        <v>0.496</v>
      </c>
      <c r="AR206" t="s">
        <v>69</v>
      </c>
      <c r="AS206">
        <v>13</v>
      </c>
      <c r="AT206">
        <v>3</v>
      </c>
      <c r="AU206">
        <v>3.175E-2</v>
      </c>
      <c r="AV206">
        <v>-7.6600000000000001E-3</v>
      </c>
      <c r="AW206">
        <v>0.13148000000000001</v>
      </c>
      <c r="AX206">
        <v>-2.8809999999999999E-2</v>
      </c>
      <c r="AY206">
        <v>7.7000000000000002E-3</v>
      </c>
      <c r="AZ206">
        <v>-3.14E-3</v>
      </c>
      <c r="BA206">
        <v>5.8560000000000001E-2</v>
      </c>
      <c r="BB206">
        <v>1</v>
      </c>
      <c r="BC206" t="s">
        <v>70</v>
      </c>
      <c r="BD206">
        <v>-0.22600000000000001</v>
      </c>
      <c r="BE206">
        <v>-0.84699999999999998</v>
      </c>
      <c r="BF206" t="s">
        <v>71</v>
      </c>
      <c r="BG206">
        <v>0.18</v>
      </c>
      <c r="BI206">
        <v>16</v>
      </c>
      <c r="BJ206">
        <v>5.8560000000000001E-2</v>
      </c>
      <c r="BK206">
        <v>0.18</v>
      </c>
    </row>
    <row r="207" spans="1:63">
      <c r="A207">
        <v>1243</v>
      </c>
      <c r="B207" t="s">
        <v>1275</v>
      </c>
      <c r="D207" t="s">
        <v>60</v>
      </c>
      <c r="E207">
        <v>1298612</v>
      </c>
      <c r="F207">
        <v>1299031</v>
      </c>
      <c r="G207" t="s">
        <v>74</v>
      </c>
      <c r="H207">
        <v>140</v>
      </c>
      <c r="I207" t="s">
        <v>63</v>
      </c>
      <c r="J207">
        <v>5</v>
      </c>
      <c r="K207" t="str">
        <f>HYPERLINK("Gene1243-zp_tree_all.dnd", "Gene1243-tree")</f>
        <v>Gene1243-tree</v>
      </c>
      <c r="L207">
        <v>4</v>
      </c>
      <c r="M207">
        <v>1</v>
      </c>
      <c r="N207">
        <v>4</v>
      </c>
      <c r="O207">
        <v>1</v>
      </c>
      <c r="P207">
        <v>0.2</v>
      </c>
      <c r="Q207" t="s">
        <v>64</v>
      </c>
      <c r="R207" t="s">
        <v>65</v>
      </c>
      <c r="S207" t="s">
        <v>66</v>
      </c>
      <c r="T207" t="s">
        <v>66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2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v>4</v>
      </c>
      <c r="AJ207">
        <v>2</v>
      </c>
      <c r="AK207">
        <v>4</v>
      </c>
      <c r="AL207">
        <v>1</v>
      </c>
      <c r="AM207">
        <v>16</v>
      </c>
      <c r="AN207">
        <v>1</v>
      </c>
      <c r="AO207" t="s">
        <v>1277</v>
      </c>
      <c r="AP207" t="s">
        <v>1278</v>
      </c>
      <c r="AQ207">
        <v>0.50700000000000001</v>
      </c>
      <c r="AR207" t="s">
        <v>69</v>
      </c>
      <c r="AS207">
        <v>20</v>
      </c>
      <c r="AT207">
        <v>2</v>
      </c>
      <c r="AU207">
        <v>2.81E-2</v>
      </c>
      <c r="AV207">
        <v>-5.0899999999999999E-3</v>
      </c>
      <c r="AW207">
        <v>0.12819</v>
      </c>
      <c r="AX207">
        <v>-2.5069999999999999E-2</v>
      </c>
      <c r="AY207">
        <v>3.0799999999999998E-3</v>
      </c>
      <c r="AZ207">
        <v>-6.2E-4</v>
      </c>
      <c r="BA207">
        <v>2.4039999999999999E-2</v>
      </c>
      <c r="BB207">
        <v>1</v>
      </c>
      <c r="BC207" t="s">
        <v>70</v>
      </c>
      <c r="BD207">
        <v>1.2629999999999999</v>
      </c>
      <c r="BE207">
        <v>1.2629999999999999</v>
      </c>
      <c r="BF207" t="s">
        <v>71</v>
      </c>
      <c r="BG207">
        <v>0</v>
      </c>
      <c r="BI207">
        <v>22</v>
      </c>
      <c r="BJ207">
        <v>2.4039999999999999E-2</v>
      </c>
      <c r="BK207">
        <v>0</v>
      </c>
    </row>
    <row r="208" spans="1:63">
      <c r="A208">
        <v>1243</v>
      </c>
      <c r="B208" t="s">
        <v>1275</v>
      </c>
      <c r="D208" t="s">
        <v>60</v>
      </c>
      <c r="E208">
        <v>1298612</v>
      </c>
      <c r="F208">
        <v>1299031</v>
      </c>
      <c r="G208" t="s">
        <v>74</v>
      </c>
      <c r="H208">
        <v>140</v>
      </c>
      <c r="I208" t="s">
        <v>63</v>
      </c>
      <c r="J208">
        <v>5</v>
      </c>
      <c r="K208" t="str">
        <f>HYPERLINK("Gene1243-zp_tree_all.dnd", "Gene1243-tree")</f>
        <v>Gene1243-tree</v>
      </c>
      <c r="L208">
        <v>4</v>
      </c>
      <c r="M208">
        <v>1</v>
      </c>
      <c r="N208">
        <v>4</v>
      </c>
      <c r="O208">
        <v>1</v>
      </c>
      <c r="P208">
        <v>0.2</v>
      </c>
      <c r="Q208" t="s">
        <v>64</v>
      </c>
      <c r="R208" t="s">
        <v>65</v>
      </c>
      <c r="S208" t="s">
        <v>66</v>
      </c>
      <c r="T208" t="s">
        <v>66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2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4</v>
      </c>
      <c r="AJ208">
        <v>2</v>
      </c>
      <c r="AK208">
        <v>4</v>
      </c>
      <c r="AL208">
        <v>1</v>
      </c>
      <c r="AM208">
        <v>16</v>
      </c>
      <c r="AN208">
        <v>1</v>
      </c>
      <c r="AO208" t="s">
        <v>1277</v>
      </c>
      <c r="AP208" t="s">
        <v>1278</v>
      </c>
      <c r="AQ208">
        <v>0.50700000000000001</v>
      </c>
      <c r="AR208" t="s">
        <v>69</v>
      </c>
      <c r="AS208">
        <v>20</v>
      </c>
      <c r="AT208">
        <v>2</v>
      </c>
      <c r="AU208">
        <v>2.81E-2</v>
      </c>
      <c r="AV208">
        <v>-5.0899999999999999E-3</v>
      </c>
      <c r="AW208">
        <v>0.12819</v>
      </c>
      <c r="AX208">
        <v>-2.5069999999999999E-2</v>
      </c>
      <c r="AY208">
        <v>3.0799999999999998E-3</v>
      </c>
      <c r="AZ208">
        <v>-6.2E-4</v>
      </c>
      <c r="BA208">
        <v>2.4039999999999999E-2</v>
      </c>
      <c r="BB208">
        <v>1</v>
      </c>
      <c r="BC208" t="s">
        <v>70</v>
      </c>
      <c r="BD208">
        <v>1.2629999999999999</v>
      </c>
      <c r="BE208">
        <v>1.2629999999999999</v>
      </c>
      <c r="BF208" t="s">
        <v>71</v>
      </c>
      <c r="BG208">
        <v>0</v>
      </c>
      <c r="BI208">
        <v>22</v>
      </c>
      <c r="BJ208">
        <v>2.4039999999999999E-2</v>
      </c>
      <c r="BK208">
        <v>0</v>
      </c>
    </row>
    <row r="209" spans="1:63">
      <c r="A209">
        <v>1244</v>
      </c>
      <c r="B209" t="s">
        <v>1279</v>
      </c>
      <c r="D209" t="s">
        <v>60</v>
      </c>
      <c r="E209">
        <v>1299074</v>
      </c>
      <c r="F209">
        <v>1300249</v>
      </c>
      <c r="G209" t="s">
        <v>1281</v>
      </c>
      <c r="H209">
        <v>392</v>
      </c>
      <c r="I209" t="s">
        <v>63</v>
      </c>
      <c r="J209">
        <v>5</v>
      </c>
      <c r="K209" t="str">
        <f>HYPERLINK("Gene1244-zp_tree_all.dnd", "Gene1244-tree")</f>
        <v>Gene1244-tree</v>
      </c>
      <c r="L209">
        <v>3</v>
      </c>
      <c r="M209">
        <v>2</v>
      </c>
      <c r="N209">
        <v>3</v>
      </c>
      <c r="O209">
        <v>2</v>
      </c>
      <c r="P209">
        <v>0.4</v>
      </c>
      <c r="Q209" t="s">
        <v>86</v>
      </c>
      <c r="R209" t="s">
        <v>124</v>
      </c>
      <c r="S209" t="s">
        <v>66</v>
      </c>
      <c r="T209" t="s">
        <v>66</v>
      </c>
      <c r="U209">
        <v>0</v>
      </c>
      <c r="V209">
        <v>0</v>
      </c>
      <c r="W209">
        <v>4</v>
      </c>
      <c r="X209">
        <v>0</v>
      </c>
      <c r="Y209">
        <v>0</v>
      </c>
      <c r="Z209">
        <v>0</v>
      </c>
      <c r="AA209">
        <v>0</v>
      </c>
      <c r="AB209">
        <v>2</v>
      </c>
      <c r="AC209">
        <v>0</v>
      </c>
      <c r="AD209">
        <v>0</v>
      </c>
      <c r="AE209">
        <v>0</v>
      </c>
      <c r="AF209">
        <v>0</v>
      </c>
      <c r="AG209">
        <v>2</v>
      </c>
      <c r="AH209">
        <v>0</v>
      </c>
      <c r="AI209">
        <v>5</v>
      </c>
      <c r="AJ209">
        <v>2</v>
      </c>
      <c r="AK209">
        <v>33</v>
      </c>
      <c r="AL209">
        <v>2</v>
      </c>
      <c r="AM209">
        <v>20</v>
      </c>
      <c r="AN209">
        <v>2</v>
      </c>
      <c r="AO209" t="s">
        <v>1282</v>
      </c>
      <c r="AP209" t="s">
        <v>1283</v>
      </c>
      <c r="AQ209">
        <v>0.38300000000000001</v>
      </c>
      <c r="AR209" t="s">
        <v>69</v>
      </c>
      <c r="AS209">
        <v>53</v>
      </c>
      <c r="AT209">
        <v>4</v>
      </c>
      <c r="AU209">
        <v>2.1770000000000001E-2</v>
      </c>
      <c r="AV209">
        <v>-2.3E-3</v>
      </c>
      <c r="AW209">
        <v>8.5620000000000002E-2</v>
      </c>
      <c r="AX209">
        <v>-9.41E-3</v>
      </c>
      <c r="AY209">
        <v>2.2699999999999999E-3</v>
      </c>
      <c r="AZ209">
        <v>-4.2999999999999999E-4</v>
      </c>
      <c r="BA209">
        <v>2.6530000000000001E-2</v>
      </c>
      <c r="BB209">
        <v>1</v>
      </c>
      <c r="BC209" t="s">
        <v>70</v>
      </c>
      <c r="BD209">
        <v>4.7E-2</v>
      </c>
      <c r="BE209">
        <v>4.7E-2</v>
      </c>
      <c r="BF209" t="s">
        <v>71</v>
      </c>
      <c r="BG209">
        <v>1.5094339622641499E-2</v>
      </c>
      <c r="BI209">
        <v>57</v>
      </c>
      <c r="BJ209">
        <v>2.6530000000000001E-2</v>
      </c>
      <c r="BK209">
        <v>1.5094339622641499E-2</v>
      </c>
    </row>
    <row r="210" spans="1:63">
      <c r="A210">
        <v>1246</v>
      </c>
      <c r="B210" t="s">
        <v>1284</v>
      </c>
      <c r="D210" t="s">
        <v>60</v>
      </c>
      <c r="E210">
        <v>1301939</v>
      </c>
      <c r="F210">
        <v>1303315</v>
      </c>
      <c r="G210" t="s">
        <v>1286</v>
      </c>
      <c r="H210">
        <v>459</v>
      </c>
      <c r="I210" t="s">
        <v>63</v>
      </c>
      <c r="J210">
        <v>5</v>
      </c>
      <c r="K210" t="str">
        <f>HYPERLINK("Gene1246-zp_tree_all.dnd", "Gene1246-tree")</f>
        <v>Gene1246-tree</v>
      </c>
      <c r="L210">
        <v>0</v>
      </c>
      <c r="M210">
        <v>5</v>
      </c>
      <c r="N210">
        <v>0</v>
      </c>
      <c r="O210">
        <v>5</v>
      </c>
      <c r="P210">
        <v>1</v>
      </c>
      <c r="Q210" t="s">
        <v>66</v>
      </c>
      <c r="R210" t="s">
        <v>96</v>
      </c>
      <c r="S210" t="s">
        <v>66</v>
      </c>
      <c r="T210" t="s">
        <v>66</v>
      </c>
      <c r="U210">
        <v>0</v>
      </c>
      <c r="V210">
        <v>0</v>
      </c>
      <c r="W210">
        <v>11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11</v>
      </c>
      <c r="AH210">
        <v>0</v>
      </c>
      <c r="AI210">
        <v>5</v>
      </c>
      <c r="AJ210">
        <v>2</v>
      </c>
      <c r="AK210">
        <v>37</v>
      </c>
      <c r="AL210">
        <v>8</v>
      </c>
      <c r="AM210">
        <v>51</v>
      </c>
      <c r="AN210">
        <v>3</v>
      </c>
      <c r="AO210" t="s">
        <v>1287</v>
      </c>
      <c r="AP210" t="s">
        <v>1288</v>
      </c>
      <c r="AQ210">
        <v>3.04</v>
      </c>
      <c r="AR210" t="s">
        <v>239</v>
      </c>
      <c r="AS210">
        <v>88</v>
      </c>
      <c r="AT210">
        <v>11</v>
      </c>
      <c r="AU210">
        <v>3.551E-2</v>
      </c>
      <c r="AV210">
        <v>-5.3600000000000002E-3</v>
      </c>
      <c r="AW210">
        <v>0.14637</v>
      </c>
      <c r="AX210">
        <v>-2.4969999999999999E-2</v>
      </c>
      <c r="AY210">
        <v>4.8300000000000001E-3</v>
      </c>
      <c r="AZ210">
        <v>-4.4999999999999999E-4</v>
      </c>
      <c r="BA210">
        <v>3.3020000000000001E-2</v>
      </c>
      <c r="BB210">
        <v>1</v>
      </c>
      <c r="BC210" t="s">
        <v>70</v>
      </c>
      <c r="BD210">
        <v>0.63600000000000001</v>
      </c>
      <c r="BE210">
        <v>0.41799999999999998</v>
      </c>
      <c r="BF210" t="s">
        <v>71</v>
      </c>
      <c r="BG210">
        <v>3.24675324675324E-3</v>
      </c>
      <c r="BI210">
        <v>99</v>
      </c>
      <c r="BJ210">
        <v>3.3020000000000001E-2</v>
      </c>
      <c r="BK210">
        <v>3.24675324675324E-3</v>
      </c>
    </row>
    <row r="211" spans="1:63">
      <c r="A211">
        <v>1257</v>
      </c>
      <c r="B211" t="s">
        <v>1296</v>
      </c>
      <c r="D211" t="s">
        <v>60</v>
      </c>
      <c r="E211">
        <v>1314453</v>
      </c>
      <c r="F211">
        <v>1315721</v>
      </c>
      <c r="G211" t="s">
        <v>1298</v>
      </c>
      <c r="H211">
        <v>423</v>
      </c>
      <c r="I211" t="s">
        <v>63</v>
      </c>
      <c r="J211">
        <v>5</v>
      </c>
      <c r="K211" t="str">
        <f>HYPERLINK("Gene1257-zp_tree_all.dnd", "Gene1257-tree")</f>
        <v>Gene1257-tree</v>
      </c>
      <c r="L211">
        <v>0</v>
      </c>
      <c r="M211">
        <v>5</v>
      </c>
      <c r="N211">
        <v>0</v>
      </c>
      <c r="O211">
        <v>5</v>
      </c>
      <c r="P211">
        <v>1</v>
      </c>
      <c r="Q211" t="s">
        <v>66</v>
      </c>
      <c r="R211" t="s">
        <v>96</v>
      </c>
      <c r="S211" t="s">
        <v>66</v>
      </c>
      <c r="T211" t="s">
        <v>66</v>
      </c>
      <c r="U211">
        <v>0</v>
      </c>
      <c r="V211">
        <v>0</v>
      </c>
      <c r="W211">
        <v>13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13</v>
      </c>
      <c r="AH211">
        <v>0</v>
      </c>
      <c r="AI211">
        <v>3</v>
      </c>
      <c r="AJ211">
        <v>2</v>
      </c>
      <c r="AK211">
        <v>26</v>
      </c>
      <c r="AL211">
        <v>9</v>
      </c>
      <c r="AM211">
        <v>19</v>
      </c>
      <c r="AN211">
        <v>4</v>
      </c>
      <c r="AO211" t="s">
        <v>1299</v>
      </c>
      <c r="AP211" t="s">
        <v>1300</v>
      </c>
      <c r="AQ211">
        <v>0.72399999999999998</v>
      </c>
      <c r="AR211" t="s">
        <v>69</v>
      </c>
      <c r="AS211">
        <v>45</v>
      </c>
      <c r="AT211">
        <v>13</v>
      </c>
      <c r="AU211">
        <v>2.1909999999999999E-2</v>
      </c>
      <c r="AV211">
        <v>-3.96E-3</v>
      </c>
      <c r="AW211">
        <v>8.3049999999999999E-2</v>
      </c>
      <c r="AX211">
        <v>-1.6150000000000001E-2</v>
      </c>
      <c r="AY211">
        <v>6.1199999999999996E-3</v>
      </c>
      <c r="AZ211">
        <v>-9.8999999999999999E-4</v>
      </c>
      <c r="BA211">
        <v>7.3649999999999993E-2</v>
      </c>
      <c r="BB211">
        <v>1</v>
      </c>
      <c r="BC211" t="s">
        <v>70</v>
      </c>
      <c r="BD211">
        <v>-1.0999999999999999E-2</v>
      </c>
      <c r="BE211">
        <v>-1.0999999999999999E-2</v>
      </c>
      <c r="BF211" t="s">
        <v>71</v>
      </c>
      <c r="BG211">
        <v>0.164874551971326</v>
      </c>
      <c r="BI211">
        <v>58</v>
      </c>
      <c r="BJ211">
        <v>7.3649999999999993E-2</v>
      </c>
      <c r="BK211">
        <v>0.164874551971326</v>
      </c>
    </row>
    <row r="212" spans="1:63">
      <c r="A212">
        <v>1258</v>
      </c>
      <c r="B212" t="s">
        <v>1301</v>
      </c>
      <c r="D212" t="s">
        <v>60</v>
      </c>
      <c r="E212">
        <v>1315869</v>
      </c>
      <c r="F212">
        <v>1317002</v>
      </c>
      <c r="G212" t="s">
        <v>1303</v>
      </c>
      <c r="H212">
        <v>378</v>
      </c>
      <c r="I212" t="s">
        <v>63</v>
      </c>
      <c r="J212">
        <v>5</v>
      </c>
      <c r="K212" t="str">
        <f>HYPERLINK("Gene1258-zp_tree_all.dnd", "Gene1258-tree")</f>
        <v>Gene1258-tree</v>
      </c>
      <c r="L212">
        <v>4</v>
      </c>
      <c r="M212">
        <v>1</v>
      </c>
      <c r="N212">
        <v>4</v>
      </c>
      <c r="O212">
        <v>1</v>
      </c>
      <c r="P212">
        <v>0.2</v>
      </c>
      <c r="Q212" t="s">
        <v>64</v>
      </c>
      <c r="R212" t="s">
        <v>65</v>
      </c>
      <c r="S212" t="s">
        <v>66</v>
      </c>
      <c r="T212" t="s">
        <v>66</v>
      </c>
      <c r="U212">
        <v>0</v>
      </c>
      <c r="V212">
        <v>0</v>
      </c>
      <c r="W212">
        <v>2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5</v>
      </c>
      <c r="AJ212">
        <v>2</v>
      </c>
      <c r="AK212">
        <v>21</v>
      </c>
      <c r="AL212">
        <v>1</v>
      </c>
      <c r="AM212">
        <v>19</v>
      </c>
      <c r="AN212">
        <v>1</v>
      </c>
      <c r="AO212" t="s">
        <v>1304</v>
      </c>
      <c r="AP212" t="s">
        <v>1305</v>
      </c>
      <c r="AQ212">
        <v>3.5000000000000003E-2</v>
      </c>
      <c r="AR212" t="s">
        <v>69</v>
      </c>
      <c r="AS212">
        <v>40</v>
      </c>
      <c r="AT212">
        <v>2</v>
      </c>
      <c r="AU212">
        <v>1.8339999999999999E-2</v>
      </c>
      <c r="AV212">
        <v>-2.7699999999999999E-3</v>
      </c>
      <c r="AW212">
        <v>8.8069999999999996E-2</v>
      </c>
      <c r="AX212">
        <v>-1.3939999999999999E-2</v>
      </c>
      <c r="AY212">
        <v>1.1199999999999999E-3</v>
      </c>
      <c r="AZ212">
        <v>-1.9000000000000001E-4</v>
      </c>
      <c r="BA212">
        <v>1.274E-2</v>
      </c>
      <c r="BB212">
        <v>1</v>
      </c>
      <c r="BC212" t="s">
        <v>70</v>
      </c>
      <c r="BD212">
        <v>0.23899999999999999</v>
      </c>
      <c r="BE212">
        <v>0.23899999999999999</v>
      </c>
      <c r="BF212" t="s">
        <v>71</v>
      </c>
      <c r="BG212">
        <v>8.0357142857142794E-2</v>
      </c>
      <c r="BI212">
        <v>42</v>
      </c>
      <c r="BJ212">
        <v>1.274E-2</v>
      </c>
      <c r="BK212">
        <v>8.0357142857142794E-2</v>
      </c>
    </row>
    <row r="213" spans="1:63">
      <c r="A213">
        <v>1277</v>
      </c>
      <c r="B213" t="s">
        <v>1309</v>
      </c>
      <c r="D213" t="s">
        <v>60</v>
      </c>
      <c r="E213">
        <v>1328702</v>
      </c>
      <c r="F213">
        <v>1329526</v>
      </c>
      <c r="G213" t="s">
        <v>1311</v>
      </c>
      <c r="H213">
        <v>275</v>
      </c>
      <c r="I213" t="s">
        <v>63</v>
      </c>
      <c r="J213">
        <v>5</v>
      </c>
      <c r="K213" t="str">
        <f>HYPERLINK("Gene1277-zp_tree_all.dnd", "Gene1277-tree")</f>
        <v>Gene1277-tree</v>
      </c>
      <c r="L213">
        <v>1</v>
      </c>
      <c r="M213">
        <v>4</v>
      </c>
      <c r="N213">
        <v>1</v>
      </c>
      <c r="O213">
        <v>4</v>
      </c>
      <c r="P213">
        <v>0.8</v>
      </c>
      <c r="Q213" t="s">
        <v>65</v>
      </c>
      <c r="R213" t="s">
        <v>64</v>
      </c>
      <c r="S213" t="s">
        <v>66</v>
      </c>
      <c r="T213" t="s">
        <v>66</v>
      </c>
      <c r="U213">
        <v>1</v>
      </c>
      <c r="V213">
        <v>2</v>
      </c>
      <c r="W213">
        <v>8</v>
      </c>
      <c r="X213">
        <v>0.2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2</v>
      </c>
      <c r="AF213">
        <v>2</v>
      </c>
      <c r="AG213">
        <v>8</v>
      </c>
      <c r="AH213">
        <v>0.2</v>
      </c>
      <c r="AI213">
        <v>5</v>
      </c>
      <c r="AJ213">
        <v>2</v>
      </c>
      <c r="AK213">
        <v>13</v>
      </c>
      <c r="AL213">
        <v>6</v>
      </c>
      <c r="AM213">
        <v>25</v>
      </c>
      <c r="AN213">
        <v>4</v>
      </c>
      <c r="AO213" t="s">
        <v>1312</v>
      </c>
      <c r="AP213" t="s">
        <v>1313</v>
      </c>
      <c r="AQ213">
        <v>1.1839999999999999</v>
      </c>
      <c r="AR213" t="s">
        <v>69</v>
      </c>
      <c r="AS213">
        <v>38</v>
      </c>
      <c r="AT213">
        <v>10</v>
      </c>
      <c r="AU213">
        <v>2.945E-2</v>
      </c>
      <c r="AV213">
        <v>-5.13E-3</v>
      </c>
      <c r="AW213">
        <v>0.1192</v>
      </c>
      <c r="AX213">
        <v>-2.248E-2</v>
      </c>
      <c r="AY213">
        <v>7.5100000000000002E-3</v>
      </c>
      <c r="AZ213">
        <v>-1.1299999999999999E-3</v>
      </c>
      <c r="BA213">
        <v>6.2979999999999994E-2</v>
      </c>
      <c r="BB213">
        <v>1</v>
      </c>
      <c r="BC213" t="s">
        <v>70</v>
      </c>
      <c r="BD213">
        <v>0.75800000000000001</v>
      </c>
      <c r="BE213">
        <v>0.58699999999999997</v>
      </c>
      <c r="BF213" t="s">
        <v>71</v>
      </c>
      <c r="BG213">
        <v>0.184275184275184</v>
      </c>
      <c r="BI213">
        <v>48</v>
      </c>
      <c r="BJ213">
        <v>6.2979999999999994E-2</v>
      </c>
      <c r="BK213">
        <v>0.184275184275184</v>
      </c>
    </row>
    <row r="214" spans="1:63">
      <c r="A214">
        <v>1278</v>
      </c>
      <c r="B214" t="s">
        <v>1314</v>
      </c>
      <c r="D214" t="s">
        <v>60</v>
      </c>
      <c r="E214">
        <v>1329555</v>
      </c>
      <c r="F214">
        <v>1330487</v>
      </c>
      <c r="G214" t="s">
        <v>1316</v>
      </c>
      <c r="H214">
        <v>311</v>
      </c>
      <c r="I214" t="s">
        <v>63</v>
      </c>
      <c r="J214">
        <v>5</v>
      </c>
      <c r="K214" t="str">
        <f>HYPERLINK("Gene1278-zp_tree_all.dnd", "Gene1278-tree")</f>
        <v>Gene1278-tree</v>
      </c>
      <c r="L214">
        <v>5</v>
      </c>
      <c r="M214">
        <v>0</v>
      </c>
      <c r="N214">
        <v>5</v>
      </c>
      <c r="O214">
        <v>0</v>
      </c>
      <c r="P214">
        <v>0</v>
      </c>
      <c r="Q214" t="s">
        <v>96</v>
      </c>
      <c r="R214" t="s">
        <v>66</v>
      </c>
      <c r="S214" t="s">
        <v>66</v>
      </c>
      <c r="T214" t="s">
        <v>66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5</v>
      </c>
      <c r="AJ214">
        <v>2</v>
      </c>
      <c r="AK214">
        <v>30</v>
      </c>
      <c r="AL214">
        <v>0</v>
      </c>
      <c r="AM214">
        <v>23</v>
      </c>
      <c r="AN214">
        <v>1</v>
      </c>
      <c r="AO214" t="s">
        <v>68</v>
      </c>
      <c r="AP214" t="s">
        <v>1317</v>
      </c>
      <c r="AQ214">
        <v>0.83299999999999996</v>
      </c>
      <c r="AR214" t="s">
        <v>69</v>
      </c>
      <c r="AS214">
        <v>53</v>
      </c>
      <c r="AT214">
        <v>1</v>
      </c>
      <c r="AU214">
        <v>2.776E-2</v>
      </c>
      <c r="AV214">
        <v>-3.9899999999999996E-3</v>
      </c>
      <c r="AW214">
        <v>0.13070000000000001</v>
      </c>
      <c r="AX214">
        <v>-1.9359999999999999E-2</v>
      </c>
      <c r="AY214">
        <v>8.4000000000000003E-4</v>
      </c>
      <c r="AZ214">
        <v>-2.0000000000000001E-4</v>
      </c>
      <c r="BA214">
        <v>6.4000000000000003E-3</v>
      </c>
      <c r="BB214">
        <v>1</v>
      </c>
      <c r="BC214" t="s">
        <v>70</v>
      </c>
      <c r="BD214">
        <v>0.28399999999999997</v>
      </c>
      <c r="BE214">
        <v>0.13300000000000001</v>
      </c>
      <c r="BF214" t="s">
        <v>71</v>
      </c>
      <c r="BG214">
        <v>1.56599552572706E-2</v>
      </c>
      <c r="BI214">
        <v>54</v>
      </c>
      <c r="BJ214">
        <v>6.4000000000000003E-3</v>
      </c>
      <c r="BK214">
        <v>1.56599552572706E-2</v>
      </c>
    </row>
    <row r="215" spans="1:63">
      <c r="A215">
        <v>1310</v>
      </c>
      <c r="B215" t="s">
        <v>1327</v>
      </c>
      <c r="D215" t="s">
        <v>60</v>
      </c>
      <c r="E215">
        <v>1356447</v>
      </c>
      <c r="F215">
        <v>1357415</v>
      </c>
      <c r="G215" t="s">
        <v>1329</v>
      </c>
      <c r="H215">
        <v>323</v>
      </c>
      <c r="I215" t="s">
        <v>85</v>
      </c>
      <c r="J215">
        <v>4</v>
      </c>
      <c r="K215" t="str">
        <f>HYPERLINK("Gene1310-zp_tree_all.dnd", "Gene1310-tree")</f>
        <v>Gene1310-tree</v>
      </c>
      <c r="L215">
        <v>1</v>
      </c>
      <c r="M215">
        <v>3</v>
      </c>
      <c r="N215">
        <v>1</v>
      </c>
      <c r="O215">
        <v>3</v>
      </c>
      <c r="P215">
        <v>0.75</v>
      </c>
      <c r="Q215" t="s">
        <v>65</v>
      </c>
      <c r="R215" t="s">
        <v>86</v>
      </c>
      <c r="S215" t="s">
        <v>66</v>
      </c>
      <c r="T215" t="s">
        <v>66</v>
      </c>
      <c r="U215">
        <v>0</v>
      </c>
      <c r="V215">
        <v>0</v>
      </c>
      <c r="W215">
        <v>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9</v>
      </c>
      <c r="AH215">
        <v>0</v>
      </c>
      <c r="AI215">
        <v>4</v>
      </c>
      <c r="AJ215">
        <v>1</v>
      </c>
      <c r="AK215">
        <v>42</v>
      </c>
      <c r="AL215">
        <v>9</v>
      </c>
      <c r="AM215">
        <v>3</v>
      </c>
      <c r="AN215">
        <v>0</v>
      </c>
      <c r="AO215" t="s">
        <v>1330</v>
      </c>
      <c r="AP215" t="s">
        <v>68</v>
      </c>
      <c r="AQ215">
        <v>0.77600000000000002</v>
      </c>
      <c r="AR215" t="s">
        <v>69</v>
      </c>
      <c r="AS215">
        <v>45</v>
      </c>
      <c r="AT215">
        <v>9</v>
      </c>
      <c r="AU215">
        <v>2.8469999999999999E-2</v>
      </c>
      <c r="AV215">
        <v>-7.3400000000000002E-3</v>
      </c>
      <c r="AW215">
        <v>0.11849999999999999</v>
      </c>
      <c r="AX215">
        <v>-3.2320000000000002E-2</v>
      </c>
      <c r="AY215">
        <v>6.0400000000000002E-3</v>
      </c>
      <c r="AZ215">
        <v>-1.4400000000000001E-3</v>
      </c>
      <c r="BA215">
        <v>5.0970000000000001E-2</v>
      </c>
      <c r="BB215">
        <v>1</v>
      </c>
      <c r="BC215" t="s">
        <v>70</v>
      </c>
      <c r="BD215">
        <v>-0.69099999999999995</v>
      </c>
      <c r="BE215">
        <v>-0.69099999999999995</v>
      </c>
      <c r="BF215" t="s">
        <v>71</v>
      </c>
      <c r="BG215">
        <v>0.12918660287081299</v>
      </c>
      <c r="BI215">
        <v>54</v>
      </c>
      <c r="BJ215">
        <v>5.0970000000000001E-2</v>
      </c>
      <c r="BK215">
        <v>0.12918660287081299</v>
      </c>
    </row>
    <row r="216" spans="1:63">
      <c r="A216">
        <v>1314</v>
      </c>
      <c r="B216" t="s">
        <v>1331</v>
      </c>
      <c r="D216" t="s">
        <v>60</v>
      </c>
      <c r="E216">
        <v>1361242</v>
      </c>
      <c r="F216">
        <v>1362165</v>
      </c>
      <c r="G216" t="s">
        <v>1333</v>
      </c>
      <c r="H216">
        <v>308</v>
      </c>
      <c r="I216" t="s">
        <v>63</v>
      </c>
      <c r="J216">
        <v>5</v>
      </c>
      <c r="K216" t="str">
        <f>HYPERLINK("Gene1314-zp_tree_all.dnd", "Gene1314-tree")</f>
        <v>Gene1314-tree</v>
      </c>
      <c r="L216">
        <v>3</v>
      </c>
      <c r="M216">
        <v>2</v>
      </c>
      <c r="N216">
        <v>3</v>
      </c>
      <c r="O216">
        <v>2</v>
      </c>
      <c r="P216">
        <v>0.4</v>
      </c>
      <c r="Q216" t="s">
        <v>86</v>
      </c>
      <c r="R216" t="s">
        <v>124</v>
      </c>
      <c r="S216" t="s">
        <v>66</v>
      </c>
      <c r="T216" t="s">
        <v>66</v>
      </c>
      <c r="U216">
        <v>0</v>
      </c>
      <c r="V216">
        <v>0</v>
      </c>
      <c r="W216">
        <v>6</v>
      </c>
      <c r="X216">
        <v>0</v>
      </c>
      <c r="Y216">
        <v>0</v>
      </c>
      <c r="Z216">
        <v>0</v>
      </c>
      <c r="AA216">
        <v>0</v>
      </c>
      <c r="AB216">
        <v>3</v>
      </c>
      <c r="AC216">
        <v>0</v>
      </c>
      <c r="AD216">
        <v>0</v>
      </c>
      <c r="AE216">
        <v>0</v>
      </c>
      <c r="AF216">
        <v>0</v>
      </c>
      <c r="AG216">
        <v>3</v>
      </c>
      <c r="AH216">
        <v>0</v>
      </c>
      <c r="AI216">
        <v>5</v>
      </c>
      <c r="AJ216">
        <v>2</v>
      </c>
      <c r="AK216">
        <v>29</v>
      </c>
      <c r="AL216">
        <v>3</v>
      </c>
      <c r="AM216">
        <v>21</v>
      </c>
      <c r="AN216">
        <v>3</v>
      </c>
      <c r="AO216" t="s">
        <v>1334</v>
      </c>
      <c r="AP216" t="s">
        <v>1335</v>
      </c>
      <c r="AQ216">
        <v>0.187</v>
      </c>
      <c r="AR216" t="s">
        <v>69</v>
      </c>
      <c r="AS216">
        <v>50</v>
      </c>
      <c r="AT216">
        <v>6</v>
      </c>
      <c r="AU216">
        <v>2.8250000000000001E-2</v>
      </c>
      <c r="AV216">
        <v>-4.1399999999999996E-3</v>
      </c>
      <c r="AW216">
        <v>0.11083</v>
      </c>
      <c r="AX216">
        <v>-1.6719999999999999E-2</v>
      </c>
      <c r="AY216">
        <v>4.3299999999999996E-3</v>
      </c>
      <c r="AZ216">
        <v>-7.9000000000000001E-4</v>
      </c>
      <c r="BA216">
        <v>3.9030000000000002E-2</v>
      </c>
      <c r="BB216">
        <v>1</v>
      </c>
      <c r="BC216" t="s">
        <v>70</v>
      </c>
      <c r="BD216">
        <v>0.19600000000000001</v>
      </c>
      <c r="BE216">
        <v>4.7E-2</v>
      </c>
      <c r="BF216" t="s">
        <v>71</v>
      </c>
      <c r="BG216">
        <v>-4.6511627906976702E-2</v>
      </c>
      <c r="BI216">
        <v>56</v>
      </c>
      <c r="BJ216">
        <v>3.9030000000000002E-2</v>
      </c>
      <c r="BK216">
        <v>-4.6511627906976702E-2</v>
      </c>
    </row>
    <row r="217" spans="1:63">
      <c r="A217">
        <v>1324</v>
      </c>
      <c r="B217" t="s">
        <v>1336</v>
      </c>
      <c r="D217" t="s">
        <v>60</v>
      </c>
      <c r="E217">
        <v>1372035</v>
      </c>
      <c r="F217">
        <v>1372550</v>
      </c>
      <c r="G217" t="s">
        <v>1338</v>
      </c>
      <c r="H217">
        <v>172</v>
      </c>
      <c r="I217" t="s">
        <v>106</v>
      </c>
      <c r="J217">
        <v>4</v>
      </c>
      <c r="K217" t="str">
        <f>HYPERLINK("Gene1324-zp_tree_all.dnd", "Gene1324-tree")</f>
        <v>Gene1324-tree</v>
      </c>
      <c r="L217">
        <v>3</v>
      </c>
      <c r="M217">
        <v>1</v>
      </c>
      <c r="N217">
        <v>3</v>
      </c>
      <c r="O217">
        <v>1</v>
      </c>
      <c r="P217">
        <v>0.25</v>
      </c>
      <c r="Q217" t="s">
        <v>86</v>
      </c>
      <c r="R217" t="s">
        <v>65</v>
      </c>
      <c r="S217" t="s">
        <v>66</v>
      </c>
      <c r="T217" t="s">
        <v>66</v>
      </c>
      <c r="U217">
        <v>0</v>
      </c>
      <c r="V217">
        <v>0</v>
      </c>
      <c r="W217">
        <v>2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4</v>
      </c>
      <c r="AJ217">
        <v>1</v>
      </c>
      <c r="AK217">
        <v>19</v>
      </c>
      <c r="AL217">
        <v>1</v>
      </c>
      <c r="AM217">
        <v>12</v>
      </c>
      <c r="AN217">
        <v>1</v>
      </c>
      <c r="AO217" t="s">
        <v>1339</v>
      </c>
      <c r="AP217" t="s">
        <v>1340</v>
      </c>
      <c r="AQ217">
        <v>0.30499999999999999</v>
      </c>
      <c r="AR217" t="s">
        <v>69</v>
      </c>
      <c r="AS217">
        <v>31</v>
      </c>
      <c r="AT217">
        <v>2</v>
      </c>
      <c r="AU217">
        <v>3.1649999999999998E-2</v>
      </c>
      <c r="AV217">
        <v>-4.2300000000000003E-3</v>
      </c>
      <c r="AW217">
        <v>0.14355000000000001</v>
      </c>
      <c r="AX217">
        <v>-2.12E-2</v>
      </c>
      <c r="AY217">
        <v>2.9299999999999999E-3</v>
      </c>
      <c r="AZ217">
        <v>-5.1000000000000004E-4</v>
      </c>
      <c r="BA217">
        <v>2.044E-2</v>
      </c>
      <c r="BB217">
        <v>1</v>
      </c>
      <c r="BC217" t="s">
        <v>70</v>
      </c>
      <c r="BD217">
        <v>1.5640000000000001</v>
      </c>
      <c r="BE217">
        <v>1.5640000000000001</v>
      </c>
      <c r="BF217" t="s">
        <v>71</v>
      </c>
      <c r="BG217">
        <v>0.104602510460251</v>
      </c>
      <c r="BI217">
        <v>33</v>
      </c>
      <c r="BJ217">
        <v>2.044E-2</v>
      </c>
      <c r="BK217">
        <v>0.104602510460251</v>
      </c>
    </row>
    <row r="218" spans="1:63">
      <c r="A218">
        <v>1354</v>
      </c>
      <c r="B218" t="s">
        <v>1347</v>
      </c>
      <c r="D218" t="s">
        <v>60</v>
      </c>
      <c r="E218">
        <v>1397938</v>
      </c>
      <c r="F218">
        <v>1398090</v>
      </c>
      <c r="G218" t="s">
        <v>74</v>
      </c>
      <c r="H218">
        <v>51</v>
      </c>
      <c r="I218" t="s">
        <v>63</v>
      </c>
      <c r="J218">
        <v>5</v>
      </c>
      <c r="K218" t="str">
        <f>HYPERLINK("Gene1354-zp_tree_all.dnd", "Gene1354-tree")</f>
        <v>Gene1354-tree</v>
      </c>
      <c r="L218">
        <v>5</v>
      </c>
      <c r="M218">
        <v>0</v>
      </c>
      <c r="N218">
        <v>5</v>
      </c>
      <c r="O218">
        <v>0</v>
      </c>
      <c r="P218">
        <v>0</v>
      </c>
      <c r="Q218" t="s">
        <v>96</v>
      </c>
      <c r="R218" t="s">
        <v>66</v>
      </c>
      <c r="S218" t="s">
        <v>66</v>
      </c>
      <c r="T218" t="s">
        <v>66</v>
      </c>
      <c r="U218">
        <v>0</v>
      </c>
      <c r="V218">
        <v>0</v>
      </c>
      <c r="W218">
        <v>2</v>
      </c>
      <c r="X218">
        <v>0</v>
      </c>
      <c r="Y218">
        <v>0</v>
      </c>
      <c r="Z218">
        <v>0</v>
      </c>
      <c r="AA218">
        <v>0</v>
      </c>
      <c r="AB218">
        <v>2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3</v>
      </c>
      <c r="AJ218">
        <v>1</v>
      </c>
      <c r="AK218">
        <v>5</v>
      </c>
      <c r="AL218">
        <v>0</v>
      </c>
      <c r="AM218">
        <v>2</v>
      </c>
      <c r="AN218">
        <v>2</v>
      </c>
      <c r="AO218" t="s">
        <v>68</v>
      </c>
      <c r="AP218" t="s">
        <v>1349</v>
      </c>
      <c r="AQ218">
        <v>0</v>
      </c>
      <c r="AR218" t="s">
        <v>69</v>
      </c>
      <c r="AS218">
        <v>7</v>
      </c>
      <c r="AT218">
        <v>2</v>
      </c>
      <c r="AU218">
        <v>2.7449999999999999E-2</v>
      </c>
      <c r="AV218">
        <v>-4.0099999999999997E-3</v>
      </c>
      <c r="AW218">
        <v>0.10219</v>
      </c>
      <c r="AX218">
        <v>-1.43E-2</v>
      </c>
      <c r="AY218">
        <v>1.001E-2</v>
      </c>
      <c r="AZ218">
        <v>-2.3800000000000002E-3</v>
      </c>
      <c r="BA218">
        <v>9.7970000000000002E-2</v>
      </c>
      <c r="BB218">
        <v>0.98799999999999999</v>
      </c>
      <c r="BC218" t="s">
        <v>70</v>
      </c>
      <c r="BD218">
        <v>0.66100000000000003</v>
      </c>
      <c r="BE218">
        <v>-7.2999999999999995E-2</v>
      </c>
      <c r="BF218" t="s">
        <v>71</v>
      </c>
      <c r="BG218">
        <v>0.225806451612903</v>
      </c>
      <c r="BI218">
        <v>9</v>
      </c>
      <c r="BJ218">
        <v>9.7970000000000002E-2</v>
      </c>
      <c r="BK218">
        <v>0.225806451612903</v>
      </c>
    </row>
    <row r="219" spans="1:63">
      <c r="A219">
        <v>1356</v>
      </c>
      <c r="B219" t="s">
        <v>1350</v>
      </c>
      <c r="D219" t="s">
        <v>60</v>
      </c>
      <c r="E219">
        <v>1398496</v>
      </c>
      <c r="F219">
        <v>1398957</v>
      </c>
      <c r="G219" t="s">
        <v>787</v>
      </c>
      <c r="H219">
        <v>154</v>
      </c>
      <c r="I219" t="s">
        <v>63</v>
      </c>
      <c r="J219">
        <v>5</v>
      </c>
      <c r="K219" t="str">
        <f>HYPERLINK("Gene1356-zp_tree_all.dnd", "Gene1356-tree")</f>
        <v>Gene1356-tree</v>
      </c>
      <c r="L219">
        <v>3</v>
      </c>
      <c r="M219">
        <v>2</v>
      </c>
      <c r="N219">
        <v>3</v>
      </c>
      <c r="O219">
        <v>2</v>
      </c>
      <c r="P219">
        <v>0.4</v>
      </c>
      <c r="Q219" t="s">
        <v>86</v>
      </c>
      <c r="R219" t="s">
        <v>124</v>
      </c>
      <c r="S219" t="s">
        <v>66</v>
      </c>
      <c r="T219" t="s">
        <v>66</v>
      </c>
      <c r="U219">
        <v>1</v>
      </c>
      <c r="V219">
        <v>2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2</v>
      </c>
      <c r="AF219">
        <v>2</v>
      </c>
      <c r="AG219">
        <v>0</v>
      </c>
      <c r="AH219">
        <v>1</v>
      </c>
      <c r="AI219">
        <v>4</v>
      </c>
      <c r="AJ219">
        <v>1</v>
      </c>
      <c r="AK219">
        <v>11</v>
      </c>
      <c r="AL219">
        <v>2</v>
      </c>
      <c r="AM219">
        <v>13</v>
      </c>
      <c r="AN219">
        <v>0</v>
      </c>
      <c r="AO219" t="s">
        <v>1352</v>
      </c>
      <c r="AP219" t="s">
        <v>68</v>
      </c>
      <c r="AQ219">
        <v>1.827</v>
      </c>
      <c r="AR219" t="s">
        <v>69</v>
      </c>
      <c r="AS219">
        <v>24</v>
      </c>
      <c r="AT219">
        <v>2</v>
      </c>
      <c r="AU219">
        <v>2.8139999999999998E-2</v>
      </c>
      <c r="AV219">
        <v>-4.7699999999999999E-3</v>
      </c>
      <c r="AW219">
        <v>0.13081000000000001</v>
      </c>
      <c r="AX219">
        <v>-2.3689999999999999E-2</v>
      </c>
      <c r="AY219">
        <v>2.2399999999999998E-3</v>
      </c>
      <c r="AZ219">
        <v>-5.2999999999999998E-4</v>
      </c>
      <c r="BA219">
        <v>1.7139999999999999E-2</v>
      </c>
      <c r="BB219">
        <v>1</v>
      </c>
      <c r="BC219" t="s">
        <v>70</v>
      </c>
      <c r="BD219">
        <v>0.31</v>
      </c>
      <c r="BE219">
        <v>0.31</v>
      </c>
      <c r="BF219" t="s">
        <v>71</v>
      </c>
      <c r="BG219">
        <v>0.12121212121212099</v>
      </c>
      <c r="BI219">
        <v>26</v>
      </c>
      <c r="BJ219">
        <v>1.7139999999999999E-2</v>
      </c>
      <c r="BK219">
        <v>0.12121212121212099</v>
      </c>
    </row>
    <row r="220" spans="1:63">
      <c r="A220">
        <v>1367</v>
      </c>
      <c r="B220" t="s">
        <v>1353</v>
      </c>
      <c r="D220" t="s">
        <v>60</v>
      </c>
      <c r="E220">
        <v>1411892</v>
      </c>
      <c r="F220">
        <v>1412644</v>
      </c>
      <c r="G220" t="s">
        <v>1355</v>
      </c>
      <c r="H220">
        <v>251</v>
      </c>
      <c r="I220" t="s">
        <v>63</v>
      </c>
      <c r="J220">
        <v>5</v>
      </c>
      <c r="K220" t="str">
        <f>HYPERLINK("Gene1367-zp_tree_all.dnd", "Gene1367-tree")</f>
        <v>Gene1367-tree</v>
      </c>
      <c r="L220">
        <v>4</v>
      </c>
      <c r="M220">
        <v>1</v>
      </c>
      <c r="N220">
        <v>4</v>
      </c>
      <c r="O220">
        <v>1</v>
      </c>
      <c r="P220">
        <v>0.2</v>
      </c>
      <c r="Q220" t="s">
        <v>64</v>
      </c>
      <c r="R220" t="s">
        <v>65</v>
      </c>
      <c r="S220" t="s">
        <v>66</v>
      </c>
      <c r="T220" t="s">
        <v>66</v>
      </c>
      <c r="U220">
        <v>1</v>
      </c>
      <c r="V220">
        <v>2</v>
      </c>
      <c r="W220">
        <v>2</v>
      </c>
      <c r="X220">
        <v>0.5</v>
      </c>
      <c r="Y220">
        <v>0</v>
      </c>
      <c r="Z220">
        <v>0</v>
      </c>
      <c r="AA220">
        <v>0</v>
      </c>
      <c r="AB220">
        <v>2</v>
      </c>
      <c r="AC220">
        <v>0</v>
      </c>
      <c r="AD220">
        <v>0</v>
      </c>
      <c r="AE220">
        <v>0</v>
      </c>
      <c r="AF220">
        <v>0</v>
      </c>
      <c r="AG220">
        <v>2</v>
      </c>
      <c r="AH220">
        <v>0</v>
      </c>
      <c r="AI220">
        <v>4</v>
      </c>
      <c r="AJ220">
        <v>1</v>
      </c>
      <c r="AK220">
        <v>8</v>
      </c>
      <c r="AL220">
        <v>2</v>
      </c>
      <c r="AM220">
        <v>21</v>
      </c>
      <c r="AN220">
        <v>2</v>
      </c>
      <c r="AO220" t="s">
        <v>1356</v>
      </c>
      <c r="AP220" t="s">
        <v>1357</v>
      </c>
      <c r="AQ220">
        <v>0.41499999999999998</v>
      </c>
      <c r="AR220" t="s">
        <v>69</v>
      </c>
      <c r="AS220">
        <v>29</v>
      </c>
      <c r="AT220">
        <v>4</v>
      </c>
      <c r="AU220">
        <v>2.2839999999999999E-2</v>
      </c>
      <c r="AV220">
        <v>-4.8500000000000001E-3</v>
      </c>
      <c r="AW220">
        <v>0.10538</v>
      </c>
      <c r="AX220">
        <v>-2.299E-2</v>
      </c>
      <c r="AY220">
        <v>2.8900000000000002E-3</v>
      </c>
      <c r="AZ220">
        <v>-6.4000000000000005E-4</v>
      </c>
      <c r="BA220">
        <v>2.741E-2</v>
      </c>
      <c r="BB220">
        <v>1</v>
      </c>
      <c r="BC220" t="s">
        <v>70</v>
      </c>
      <c r="BD220">
        <v>1.167</v>
      </c>
      <c r="BE220">
        <v>0.66400000000000003</v>
      </c>
      <c r="BF220" t="s">
        <v>71</v>
      </c>
      <c r="BG220">
        <v>0.12765957446808501</v>
      </c>
      <c r="BI220">
        <v>33</v>
      </c>
      <c r="BJ220">
        <v>2.741E-2</v>
      </c>
      <c r="BK220">
        <v>0.12765957446808501</v>
      </c>
    </row>
    <row r="221" spans="1:63">
      <c r="A221">
        <v>1387</v>
      </c>
      <c r="B221" t="s">
        <v>1365</v>
      </c>
      <c r="D221" t="s">
        <v>60</v>
      </c>
      <c r="E221">
        <v>1430684</v>
      </c>
      <c r="F221">
        <v>1430938</v>
      </c>
      <c r="G221" t="s">
        <v>1367</v>
      </c>
      <c r="H221">
        <v>85</v>
      </c>
      <c r="I221" t="s">
        <v>63</v>
      </c>
      <c r="J221">
        <v>5</v>
      </c>
      <c r="K221" t="str">
        <f>HYPERLINK("Gene1387-zp_tree_all.dnd", "Gene1387-tree")</f>
        <v>Gene1387-tree</v>
      </c>
      <c r="L221">
        <v>5</v>
      </c>
      <c r="M221">
        <v>0</v>
      </c>
      <c r="N221">
        <v>4</v>
      </c>
      <c r="O221">
        <v>0</v>
      </c>
      <c r="P221">
        <v>0</v>
      </c>
      <c r="Q221" t="s">
        <v>135</v>
      </c>
      <c r="R221" t="s">
        <v>66</v>
      </c>
      <c r="S221" t="s">
        <v>66</v>
      </c>
      <c r="T221" t="s">
        <v>66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2</v>
      </c>
      <c r="AJ221">
        <v>1</v>
      </c>
      <c r="AK221">
        <v>2</v>
      </c>
      <c r="AL221">
        <v>0</v>
      </c>
      <c r="AM221">
        <v>3</v>
      </c>
      <c r="AN221">
        <v>0</v>
      </c>
      <c r="AO221" t="s">
        <v>68</v>
      </c>
      <c r="AP221" t="s">
        <v>68</v>
      </c>
      <c r="AQ221">
        <v>0</v>
      </c>
      <c r="AR221" t="s">
        <v>69</v>
      </c>
      <c r="AS221">
        <v>5</v>
      </c>
      <c r="AT221">
        <v>0</v>
      </c>
      <c r="AU221">
        <v>1.176E-2</v>
      </c>
      <c r="AV221">
        <v>-2.4499999999999999E-3</v>
      </c>
      <c r="AW221">
        <v>6.1960000000000001E-2</v>
      </c>
      <c r="AX221">
        <v>-1.32E-2</v>
      </c>
      <c r="AY221">
        <v>0</v>
      </c>
      <c r="AZ221">
        <v>0</v>
      </c>
      <c r="BA221">
        <v>0</v>
      </c>
      <c r="BB221">
        <v>1</v>
      </c>
      <c r="BC221" t="s">
        <v>70</v>
      </c>
      <c r="BD221">
        <v>0.56200000000000006</v>
      </c>
      <c r="BE221">
        <v>0.56200000000000006</v>
      </c>
      <c r="BF221" t="s">
        <v>71</v>
      </c>
      <c r="BG221">
        <v>0.238095238095238</v>
      </c>
      <c r="BI221">
        <v>5</v>
      </c>
      <c r="BJ221">
        <v>0</v>
      </c>
      <c r="BK221">
        <v>0.238095238095238</v>
      </c>
    </row>
    <row r="222" spans="1:63">
      <c r="A222">
        <v>1390</v>
      </c>
      <c r="B222" t="s">
        <v>1372</v>
      </c>
      <c r="D222" t="s">
        <v>60</v>
      </c>
      <c r="E222">
        <v>1433199</v>
      </c>
      <c r="F222">
        <v>1433633</v>
      </c>
      <c r="G222" t="s">
        <v>787</v>
      </c>
      <c r="H222">
        <v>145</v>
      </c>
      <c r="I222" t="s">
        <v>63</v>
      </c>
      <c r="J222">
        <v>5</v>
      </c>
      <c r="K222" t="str">
        <f>HYPERLINK("Gene1390-zp_tree_all.dnd", "Gene1390-tree")</f>
        <v>Gene1390-tree</v>
      </c>
      <c r="L222">
        <v>4</v>
      </c>
      <c r="M222">
        <v>1</v>
      </c>
      <c r="N222">
        <v>4</v>
      </c>
      <c r="O222">
        <v>1</v>
      </c>
      <c r="P222">
        <v>0.2</v>
      </c>
      <c r="Q222" t="s">
        <v>64</v>
      </c>
      <c r="R222" t="s">
        <v>65</v>
      </c>
      <c r="S222" t="s">
        <v>66</v>
      </c>
      <c r="T222" t="s">
        <v>66</v>
      </c>
      <c r="U222">
        <v>0</v>
      </c>
      <c r="V222">
        <v>0</v>
      </c>
      <c r="W222">
        <v>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2</v>
      </c>
      <c r="AH222">
        <v>0</v>
      </c>
      <c r="AI222">
        <v>4</v>
      </c>
      <c r="AJ222">
        <v>2</v>
      </c>
      <c r="AK222">
        <v>8</v>
      </c>
      <c r="AL222">
        <v>2</v>
      </c>
      <c r="AM222">
        <v>9</v>
      </c>
      <c r="AN222">
        <v>0</v>
      </c>
      <c r="AO222" t="s">
        <v>1374</v>
      </c>
      <c r="AP222" t="s">
        <v>68</v>
      </c>
      <c r="AQ222">
        <v>0.63900000000000001</v>
      </c>
      <c r="AR222" t="s">
        <v>69</v>
      </c>
      <c r="AS222">
        <v>17</v>
      </c>
      <c r="AT222">
        <v>2</v>
      </c>
      <c r="AU222">
        <v>2.1610000000000001E-2</v>
      </c>
      <c r="AV222">
        <v>-3.5200000000000001E-3</v>
      </c>
      <c r="AW222">
        <v>0.10068000000000001</v>
      </c>
      <c r="AX222">
        <v>-1.7170000000000001E-2</v>
      </c>
      <c r="AY222">
        <v>2.3500000000000001E-3</v>
      </c>
      <c r="AZ222">
        <v>-9.1E-4</v>
      </c>
      <c r="BA222">
        <v>2.333E-2</v>
      </c>
      <c r="BB222">
        <v>1</v>
      </c>
      <c r="BC222" t="s">
        <v>70</v>
      </c>
      <c r="BD222">
        <v>0.22700000000000001</v>
      </c>
      <c r="BE222">
        <v>0.22700000000000001</v>
      </c>
      <c r="BF222" t="s">
        <v>71</v>
      </c>
      <c r="BG222">
        <v>0.12849162011173099</v>
      </c>
      <c r="BI222">
        <v>19</v>
      </c>
      <c r="BJ222">
        <v>2.333E-2</v>
      </c>
      <c r="BK222">
        <v>0.12849162011173099</v>
      </c>
    </row>
    <row r="223" spans="1:63">
      <c r="A223">
        <v>1396</v>
      </c>
      <c r="B223" t="s">
        <v>1384</v>
      </c>
      <c r="D223" t="s">
        <v>60</v>
      </c>
      <c r="E223">
        <v>1440100</v>
      </c>
      <c r="F223">
        <v>1440546</v>
      </c>
      <c r="G223" t="s">
        <v>1386</v>
      </c>
      <c r="H223">
        <v>149</v>
      </c>
      <c r="I223" t="s">
        <v>63</v>
      </c>
      <c r="J223">
        <v>5</v>
      </c>
      <c r="K223" t="str">
        <f>HYPERLINK("Gene1396-zp_tree_all.dnd", "Gene1396-tree")</f>
        <v>Gene1396-tree</v>
      </c>
      <c r="L223">
        <v>3</v>
      </c>
      <c r="M223">
        <v>2</v>
      </c>
      <c r="N223">
        <v>3</v>
      </c>
      <c r="O223">
        <v>2</v>
      </c>
      <c r="P223">
        <v>0.4</v>
      </c>
      <c r="Q223" t="s">
        <v>86</v>
      </c>
      <c r="R223" t="s">
        <v>124</v>
      </c>
      <c r="S223" t="s">
        <v>66</v>
      </c>
      <c r="T223" t="s">
        <v>66</v>
      </c>
      <c r="U223">
        <v>1</v>
      </c>
      <c r="V223">
        <v>2</v>
      </c>
      <c r="W223">
        <v>1</v>
      </c>
      <c r="X223">
        <v>0.66666999999999998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2</v>
      </c>
      <c r="AH223">
        <v>0</v>
      </c>
      <c r="AI223">
        <v>5</v>
      </c>
      <c r="AJ223">
        <v>2</v>
      </c>
      <c r="AK223">
        <v>12</v>
      </c>
      <c r="AL223">
        <v>2</v>
      </c>
      <c r="AM223">
        <v>11</v>
      </c>
      <c r="AN223">
        <v>1</v>
      </c>
      <c r="AO223" t="s">
        <v>1387</v>
      </c>
      <c r="AP223" t="s">
        <v>1388</v>
      </c>
      <c r="AQ223">
        <v>0.46400000000000002</v>
      </c>
      <c r="AR223" t="s">
        <v>69</v>
      </c>
      <c r="AS223">
        <v>23</v>
      </c>
      <c r="AT223">
        <v>3</v>
      </c>
      <c r="AU223">
        <v>2.7959999999999999E-2</v>
      </c>
      <c r="AV223">
        <v>-4.0299999999999997E-3</v>
      </c>
      <c r="AW223">
        <v>0.12192</v>
      </c>
      <c r="AX223">
        <v>-1.9019999999999999E-2</v>
      </c>
      <c r="AY223">
        <v>3.2100000000000002E-3</v>
      </c>
      <c r="AZ223">
        <v>-5.0000000000000001E-4</v>
      </c>
      <c r="BA223">
        <v>2.631E-2</v>
      </c>
      <c r="BB223">
        <v>1</v>
      </c>
      <c r="BC223" t="s">
        <v>70</v>
      </c>
      <c r="BD223">
        <v>0.31</v>
      </c>
      <c r="BE223">
        <v>0</v>
      </c>
      <c r="BF223" t="s">
        <v>71</v>
      </c>
      <c r="BG223">
        <v>2.4390243902439001E-2</v>
      </c>
      <c r="BI223">
        <v>26</v>
      </c>
      <c r="BJ223">
        <v>2.631E-2</v>
      </c>
      <c r="BK223">
        <v>2.4390243902439001E-2</v>
      </c>
    </row>
    <row r="224" spans="1:63">
      <c r="A224">
        <v>1401</v>
      </c>
      <c r="B224" t="s">
        <v>1389</v>
      </c>
      <c r="D224" t="s">
        <v>60</v>
      </c>
      <c r="E224">
        <v>1444099</v>
      </c>
      <c r="F224">
        <v>1445295</v>
      </c>
      <c r="G224" t="s">
        <v>1391</v>
      </c>
      <c r="H224">
        <v>399</v>
      </c>
      <c r="I224" t="s">
        <v>85</v>
      </c>
      <c r="J224">
        <v>4</v>
      </c>
      <c r="K224" t="str">
        <f>HYPERLINK("Gene1401-zp_tree_all.dnd", "Gene1401-tree")</f>
        <v>Gene1401-tree</v>
      </c>
      <c r="L224">
        <v>0</v>
      </c>
      <c r="M224">
        <v>4</v>
      </c>
      <c r="N224">
        <v>0</v>
      </c>
      <c r="O224">
        <v>4</v>
      </c>
      <c r="P224">
        <v>1</v>
      </c>
      <c r="Q224" t="s">
        <v>66</v>
      </c>
      <c r="R224" t="s">
        <v>64</v>
      </c>
      <c r="S224" t="s">
        <v>66</v>
      </c>
      <c r="T224" t="s">
        <v>66</v>
      </c>
      <c r="U224">
        <v>2</v>
      </c>
      <c r="V224">
        <v>4</v>
      </c>
      <c r="W224">
        <v>25</v>
      </c>
      <c r="X224">
        <v>0.13793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4</v>
      </c>
      <c r="AF224">
        <v>4</v>
      </c>
      <c r="AG224">
        <v>25</v>
      </c>
      <c r="AH224">
        <v>0.13793</v>
      </c>
      <c r="AI224">
        <v>4</v>
      </c>
      <c r="AJ224">
        <v>1</v>
      </c>
      <c r="AK224">
        <v>38</v>
      </c>
      <c r="AL224">
        <v>29</v>
      </c>
      <c r="AM224">
        <v>1</v>
      </c>
      <c r="AN224">
        <v>1</v>
      </c>
      <c r="AO224" t="s">
        <v>1392</v>
      </c>
      <c r="AP224" t="s">
        <v>1393</v>
      </c>
      <c r="AQ224">
        <v>0.36</v>
      </c>
      <c r="AR224" t="s">
        <v>69</v>
      </c>
      <c r="AS224">
        <v>39</v>
      </c>
      <c r="AT224">
        <v>30</v>
      </c>
      <c r="AU224">
        <v>2.8410000000000001E-2</v>
      </c>
      <c r="AV224">
        <v>-6.8100000000000001E-3</v>
      </c>
      <c r="AW224">
        <v>7.7729999999999994E-2</v>
      </c>
      <c r="AX224">
        <v>-2.1440000000000001E-2</v>
      </c>
      <c r="AY224">
        <v>1.635E-2</v>
      </c>
      <c r="AZ224">
        <v>-3.5200000000000001E-3</v>
      </c>
      <c r="BA224">
        <v>0.21038000000000001</v>
      </c>
      <c r="BB224">
        <v>1</v>
      </c>
      <c r="BC224" t="s">
        <v>70</v>
      </c>
      <c r="BD224">
        <v>-0.628</v>
      </c>
      <c r="BE224">
        <v>-0.77300000000000002</v>
      </c>
      <c r="BF224" t="s">
        <v>71</v>
      </c>
      <c r="BG224">
        <v>5.0108932461873597E-2</v>
      </c>
      <c r="BI224">
        <v>69</v>
      </c>
      <c r="BJ224">
        <v>0.21038000000000001</v>
      </c>
      <c r="BK224">
        <v>5.0108932461873597E-2</v>
      </c>
    </row>
    <row r="225" spans="1:63">
      <c r="A225">
        <v>1414</v>
      </c>
      <c r="B225" t="s">
        <v>1398</v>
      </c>
      <c r="D225" t="s">
        <v>60</v>
      </c>
      <c r="E225">
        <v>1456092</v>
      </c>
      <c r="F225">
        <v>1456955</v>
      </c>
      <c r="G225" t="s">
        <v>1400</v>
      </c>
      <c r="H225">
        <v>288</v>
      </c>
      <c r="I225" t="s">
        <v>63</v>
      </c>
      <c r="J225">
        <v>5</v>
      </c>
      <c r="K225" t="str">
        <f>HYPERLINK("Gene1414-zp_tree_all.dnd", "Gene1414-tree")</f>
        <v>Gene1414-tree</v>
      </c>
      <c r="L225">
        <v>4</v>
      </c>
      <c r="M225">
        <v>1</v>
      </c>
      <c r="N225">
        <v>4</v>
      </c>
      <c r="O225">
        <v>1</v>
      </c>
      <c r="P225">
        <v>0.2</v>
      </c>
      <c r="Q225" t="s">
        <v>64</v>
      </c>
      <c r="R225" t="s">
        <v>65</v>
      </c>
      <c r="S225" t="s">
        <v>66</v>
      </c>
      <c r="T225" t="s">
        <v>66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5</v>
      </c>
      <c r="AJ225">
        <v>2</v>
      </c>
      <c r="AK225">
        <v>20</v>
      </c>
      <c r="AL225">
        <v>1</v>
      </c>
      <c r="AM225">
        <v>24</v>
      </c>
      <c r="AN225">
        <v>0</v>
      </c>
      <c r="AO225" t="s">
        <v>1401</v>
      </c>
      <c r="AP225" t="s">
        <v>68</v>
      </c>
      <c r="AQ225">
        <v>0.503</v>
      </c>
      <c r="AR225" t="s">
        <v>69</v>
      </c>
      <c r="AS225">
        <v>44</v>
      </c>
      <c r="AT225">
        <v>1</v>
      </c>
      <c r="AU225">
        <v>2.581E-2</v>
      </c>
      <c r="AV225">
        <v>-4.7800000000000004E-3</v>
      </c>
      <c r="AW225">
        <v>0.13741</v>
      </c>
      <c r="AX225">
        <v>-2.7009999999999999E-2</v>
      </c>
      <c r="AY225">
        <v>5.9000000000000003E-4</v>
      </c>
      <c r="AZ225">
        <v>-1.8000000000000001E-4</v>
      </c>
      <c r="BA225">
        <v>4.2599999999999999E-3</v>
      </c>
      <c r="BB225">
        <v>1</v>
      </c>
      <c r="BC225" t="s">
        <v>70</v>
      </c>
      <c r="BD225">
        <v>0.79900000000000004</v>
      </c>
      <c r="BE225">
        <v>0.46300000000000002</v>
      </c>
      <c r="BF225" t="s">
        <v>71</v>
      </c>
      <c r="BG225">
        <v>8.5889570552147201E-2</v>
      </c>
      <c r="BI225">
        <v>45</v>
      </c>
      <c r="BJ225">
        <v>4.2599999999999999E-3</v>
      </c>
      <c r="BK225">
        <v>8.5889570552147201E-2</v>
      </c>
    </row>
    <row r="226" spans="1:63">
      <c r="A226">
        <v>1415</v>
      </c>
      <c r="B226" t="s">
        <v>1402</v>
      </c>
      <c r="D226" t="s">
        <v>60</v>
      </c>
      <c r="E226">
        <v>1457187</v>
      </c>
      <c r="F226">
        <v>1459283</v>
      </c>
      <c r="G226" t="s">
        <v>1404</v>
      </c>
      <c r="H226">
        <v>699</v>
      </c>
      <c r="I226" t="s">
        <v>85</v>
      </c>
      <c r="J226">
        <v>4</v>
      </c>
      <c r="K226" t="str">
        <f>HYPERLINK("Gene1415-zp_tree_all.dnd", "Gene1415-tree")</f>
        <v>Gene1415-tree</v>
      </c>
      <c r="L226">
        <v>2</v>
      </c>
      <c r="M226">
        <v>2</v>
      </c>
      <c r="N226">
        <v>2</v>
      </c>
      <c r="O226">
        <v>2</v>
      </c>
      <c r="P226">
        <v>0.5</v>
      </c>
      <c r="Q226" t="s">
        <v>124</v>
      </c>
      <c r="R226" t="s">
        <v>124</v>
      </c>
      <c r="S226" t="s">
        <v>66</v>
      </c>
      <c r="T226" t="s">
        <v>66</v>
      </c>
      <c r="U226">
        <v>0</v>
      </c>
      <c r="V226">
        <v>0</v>
      </c>
      <c r="W226">
        <v>10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10</v>
      </c>
      <c r="AH226">
        <v>0</v>
      </c>
      <c r="AI226">
        <v>4</v>
      </c>
      <c r="AJ226">
        <v>1</v>
      </c>
      <c r="AK226">
        <v>102</v>
      </c>
      <c r="AL226">
        <v>10</v>
      </c>
      <c r="AM226">
        <v>2</v>
      </c>
      <c r="AN226">
        <v>1</v>
      </c>
      <c r="AO226" t="s">
        <v>1405</v>
      </c>
      <c r="AP226" t="s">
        <v>1406</v>
      </c>
      <c r="AQ226">
        <v>2.2570000000000001</v>
      </c>
      <c r="AR226" t="s">
        <v>69</v>
      </c>
      <c r="AS226">
        <v>104</v>
      </c>
      <c r="AT226">
        <v>11</v>
      </c>
      <c r="AU226">
        <v>2.75E-2</v>
      </c>
      <c r="AV226">
        <v>-8.2799999999999992E-3</v>
      </c>
      <c r="AW226">
        <v>0.1166</v>
      </c>
      <c r="AX226">
        <v>-3.6170000000000001E-2</v>
      </c>
      <c r="AY226">
        <v>3.5699999999999998E-3</v>
      </c>
      <c r="AZ226">
        <v>-1.1299999999999999E-3</v>
      </c>
      <c r="BA226">
        <v>3.0589999999999999E-2</v>
      </c>
      <c r="BB226">
        <v>1</v>
      </c>
      <c r="BC226" t="s">
        <v>70</v>
      </c>
      <c r="BD226">
        <v>-0.76</v>
      </c>
      <c r="BE226">
        <v>-0.76</v>
      </c>
      <c r="BF226" t="s">
        <v>71</v>
      </c>
      <c r="BG226">
        <v>8.0797481636935994E-2</v>
      </c>
      <c r="BI226">
        <v>115</v>
      </c>
      <c r="BJ226">
        <v>3.0589999999999999E-2</v>
      </c>
      <c r="BK226">
        <v>8.0797481636935994E-2</v>
      </c>
    </row>
    <row r="227" spans="1:63">
      <c r="A227">
        <v>1417</v>
      </c>
      <c r="B227" t="s">
        <v>1410</v>
      </c>
      <c r="D227" t="s">
        <v>60</v>
      </c>
      <c r="E227">
        <v>1459650</v>
      </c>
      <c r="F227">
        <v>1461359</v>
      </c>
      <c r="G227" t="s">
        <v>1412</v>
      </c>
      <c r="H227">
        <v>570</v>
      </c>
      <c r="I227" t="s">
        <v>63</v>
      </c>
      <c r="J227">
        <v>5</v>
      </c>
      <c r="K227" t="str">
        <f>HYPERLINK("Gene1417-zp_tree_all.dnd", "Gene1417-tree")</f>
        <v>Gene1417-tree</v>
      </c>
      <c r="L227">
        <v>3</v>
      </c>
      <c r="M227">
        <v>2</v>
      </c>
      <c r="N227">
        <v>3</v>
      </c>
      <c r="O227">
        <v>2</v>
      </c>
      <c r="P227">
        <v>0.4</v>
      </c>
      <c r="Q227" t="s">
        <v>86</v>
      </c>
      <c r="R227" t="s">
        <v>124</v>
      </c>
      <c r="S227" t="s">
        <v>66</v>
      </c>
      <c r="T227" t="s">
        <v>66</v>
      </c>
      <c r="U227">
        <v>0</v>
      </c>
      <c r="V227">
        <v>0</v>
      </c>
      <c r="W227">
        <v>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2</v>
      </c>
      <c r="AH227">
        <v>0</v>
      </c>
      <c r="AI227">
        <v>5</v>
      </c>
      <c r="AJ227">
        <v>2</v>
      </c>
      <c r="AK227">
        <v>37</v>
      </c>
      <c r="AL227">
        <v>2</v>
      </c>
      <c r="AM227">
        <v>30</v>
      </c>
      <c r="AN227">
        <v>0</v>
      </c>
      <c r="AO227" t="s">
        <v>1413</v>
      </c>
      <c r="AP227" t="s">
        <v>68</v>
      </c>
      <c r="AQ227">
        <v>1.27</v>
      </c>
      <c r="AR227" t="s">
        <v>69</v>
      </c>
      <c r="AS227">
        <v>67</v>
      </c>
      <c r="AT227">
        <v>2</v>
      </c>
      <c r="AU227">
        <v>1.865E-2</v>
      </c>
      <c r="AV227">
        <v>-2.3800000000000002E-3</v>
      </c>
      <c r="AW227">
        <v>8.5120000000000001E-2</v>
      </c>
      <c r="AX227">
        <v>-1.1390000000000001E-2</v>
      </c>
      <c r="AY227">
        <v>6.0999999999999997E-4</v>
      </c>
      <c r="AZ227">
        <v>-1.3999999999999999E-4</v>
      </c>
      <c r="BA227">
        <v>7.1300000000000001E-3</v>
      </c>
      <c r="BB227">
        <v>1</v>
      </c>
      <c r="BC227" t="s">
        <v>70</v>
      </c>
      <c r="BD227">
        <v>0.29099999999999998</v>
      </c>
      <c r="BE227">
        <v>6.9000000000000006E-2</v>
      </c>
      <c r="BF227" t="s">
        <v>71</v>
      </c>
      <c r="BG227">
        <v>7.0572569906790894E-2</v>
      </c>
      <c r="BI227">
        <v>69</v>
      </c>
      <c r="BJ227">
        <v>7.1300000000000001E-3</v>
      </c>
      <c r="BK227">
        <v>7.0572569906790894E-2</v>
      </c>
    </row>
    <row r="228" spans="1:63">
      <c r="A228">
        <v>1425</v>
      </c>
      <c r="B228" t="s">
        <v>1414</v>
      </c>
      <c r="D228" t="s">
        <v>60</v>
      </c>
      <c r="E228">
        <v>1470026</v>
      </c>
      <c r="F228">
        <v>1471843</v>
      </c>
      <c r="G228" t="s">
        <v>1416</v>
      </c>
      <c r="H228">
        <v>606</v>
      </c>
      <c r="I228" t="s">
        <v>63</v>
      </c>
      <c r="J228">
        <v>5</v>
      </c>
      <c r="K228" t="str">
        <f>HYPERLINK("Gene1425-zp_tree_all.dnd", "Gene1425-tree")</f>
        <v>Gene1425-tree</v>
      </c>
      <c r="L228">
        <v>1</v>
      </c>
      <c r="M228">
        <v>4</v>
      </c>
      <c r="N228">
        <v>1</v>
      </c>
      <c r="O228">
        <v>4</v>
      </c>
      <c r="P228">
        <v>0.8</v>
      </c>
      <c r="Q228" t="s">
        <v>65</v>
      </c>
      <c r="R228" t="s">
        <v>64</v>
      </c>
      <c r="S228" t="s">
        <v>66</v>
      </c>
      <c r="T228" t="s">
        <v>66</v>
      </c>
      <c r="U228">
        <v>1</v>
      </c>
      <c r="V228">
        <v>2</v>
      </c>
      <c r="W228">
        <v>11</v>
      </c>
      <c r="X228">
        <v>0.15384999999999999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12</v>
      </c>
      <c r="AH228">
        <v>0</v>
      </c>
      <c r="AI228">
        <v>5</v>
      </c>
      <c r="AJ228">
        <v>2</v>
      </c>
      <c r="AK228">
        <v>40</v>
      </c>
      <c r="AL228">
        <v>7</v>
      </c>
      <c r="AM228">
        <v>67</v>
      </c>
      <c r="AN228">
        <v>6</v>
      </c>
      <c r="AO228" t="s">
        <v>1417</v>
      </c>
      <c r="AP228" t="s">
        <v>1418</v>
      </c>
      <c r="AQ228">
        <v>0.99199999999999999</v>
      </c>
      <c r="AR228" t="s">
        <v>69</v>
      </c>
      <c r="AS228">
        <v>107</v>
      </c>
      <c r="AT228">
        <v>13</v>
      </c>
      <c r="AU228">
        <v>3.3059999999999999E-2</v>
      </c>
      <c r="AV228">
        <v>-5.8599999999999998E-3</v>
      </c>
      <c r="AW228">
        <v>0.15734999999999999</v>
      </c>
      <c r="AX228">
        <v>-2.981E-2</v>
      </c>
      <c r="AY228">
        <v>4.2300000000000003E-3</v>
      </c>
      <c r="AZ228">
        <v>-6.3000000000000003E-4</v>
      </c>
      <c r="BA228">
        <v>2.6880000000000001E-2</v>
      </c>
      <c r="BB228">
        <v>1</v>
      </c>
      <c r="BC228" t="s">
        <v>70</v>
      </c>
      <c r="BD228">
        <v>0.89700000000000002</v>
      </c>
      <c r="BE228">
        <v>0.71299999999999997</v>
      </c>
      <c r="BF228" t="s">
        <v>71</v>
      </c>
      <c r="BG228">
        <v>7.5880758807588003E-2</v>
      </c>
      <c r="BI228">
        <v>120</v>
      </c>
      <c r="BJ228">
        <v>2.6880000000000001E-2</v>
      </c>
      <c r="BK228">
        <v>7.5880758807588003E-2</v>
      </c>
    </row>
    <row r="229" spans="1:63">
      <c r="A229">
        <v>1438</v>
      </c>
      <c r="B229" t="s">
        <v>1428</v>
      </c>
      <c r="D229" t="s">
        <v>60</v>
      </c>
      <c r="E229">
        <v>1484117</v>
      </c>
      <c r="F229">
        <v>1484353</v>
      </c>
      <c r="G229" t="s">
        <v>74</v>
      </c>
      <c r="H229">
        <v>79</v>
      </c>
      <c r="I229" t="s">
        <v>63</v>
      </c>
      <c r="J229">
        <v>5</v>
      </c>
      <c r="K229" t="str">
        <f>HYPERLINK("Gene1438-zp_tree_all.dnd", "Gene1438-tree")</f>
        <v>Gene1438-tree</v>
      </c>
      <c r="L229">
        <v>5</v>
      </c>
      <c r="M229">
        <v>0</v>
      </c>
      <c r="N229">
        <v>5</v>
      </c>
      <c r="O229">
        <v>0</v>
      </c>
      <c r="P229">
        <v>0</v>
      </c>
      <c r="Q229" t="s">
        <v>96</v>
      </c>
      <c r="R229" t="s">
        <v>66</v>
      </c>
      <c r="S229" t="s">
        <v>66</v>
      </c>
      <c r="T229" t="s">
        <v>66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4</v>
      </c>
      <c r="AJ229">
        <v>2</v>
      </c>
      <c r="AK229">
        <v>4</v>
      </c>
      <c r="AL229">
        <v>0</v>
      </c>
      <c r="AM229">
        <v>2</v>
      </c>
      <c r="AN229">
        <v>0</v>
      </c>
      <c r="AO229" t="s">
        <v>68</v>
      </c>
      <c r="AP229" t="s">
        <v>68</v>
      </c>
      <c r="AQ229">
        <v>0</v>
      </c>
      <c r="AR229" t="s">
        <v>69</v>
      </c>
      <c r="AS229">
        <v>6</v>
      </c>
      <c r="AT229">
        <v>0</v>
      </c>
      <c r="AU229">
        <v>1.1809999999999999E-2</v>
      </c>
      <c r="AV229">
        <v>-1.16E-3</v>
      </c>
      <c r="AW229">
        <v>6.0720000000000003E-2</v>
      </c>
      <c r="AX229">
        <v>-6.1599999999999997E-3</v>
      </c>
      <c r="AY229">
        <v>0</v>
      </c>
      <c r="AZ229">
        <v>0</v>
      </c>
      <c r="BA229">
        <v>0</v>
      </c>
      <c r="BB229">
        <v>1</v>
      </c>
      <c r="BC229" t="s">
        <v>70</v>
      </c>
      <c r="BD229">
        <v>-0.191</v>
      </c>
      <c r="BE229">
        <v>-0.191</v>
      </c>
      <c r="BF229" t="s">
        <v>71</v>
      </c>
      <c r="BG229">
        <v>6.5217391304347797E-2</v>
      </c>
      <c r="BI229">
        <v>6</v>
      </c>
      <c r="BJ229">
        <v>0</v>
      </c>
      <c r="BK229">
        <v>6.5217391304347797E-2</v>
      </c>
    </row>
    <row r="230" spans="1:63">
      <c r="A230">
        <v>1439</v>
      </c>
      <c r="B230" t="s">
        <v>1430</v>
      </c>
      <c r="D230" t="s">
        <v>60</v>
      </c>
      <c r="E230">
        <v>1484466</v>
      </c>
      <c r="F230">
        <v>1484981</v>
      </c>
      <c r="G230" t="s">
        <v>74</v>
      </c>
      <c r="H230">
        <v>172</v>
      </c>
      <c r="I230" t="s">
        <v>63</v>
      </c>
      <c r="J230">
        <v>5</v>
      </c>
      <c r="K230" t="str">
        <f>HYPERLINK("Gene1439-zp_tree_all.dnd", "Gene1439-tree")</f>
        <v>Gene1439-tree</v>
      </c>
      <c r="L230">
        <v>4</v>
      </c>
      <c r="M230">
        <v>1</v>
      </c>
      <c r="N230">
        <v>4</v>
      </c>
      <c r="O230">
        <v>1</v>
      </c>
      <c r="P230">
        <v>0.2</v>
      </c>
      <c r="Q230" t="s">
        <v>64</v>
      </c>
      <c r="R230" t="s">
        <v>65</v>
      </c>
      <c r="S230" t="s">
        <v>66</v>
      </c>
      <c r="T230" t="s">
        <v>66</v>
      </c>
      <c r="U230">
        <v>0</v>
      </c>
      <c r="V230">
        <v>0</v>
      </c>
      <c r="W230">
        <v>3</v>
      </c>
      <c r="X230">
        <v>0</v>
      </c>
      <c r="Y230">
        <v>0</v>
      </c>
      <c r="Z230">
        <v>0</v>
      </c>
      <c r="AA230">
        <v>0</v>
      </c>
      <c r="AB230">
        <v>2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4</v>
      </c>
      <c r="AJ230">
        <v>1</v>
      </c>
      <c r="AK230">
        <v>9</v>
      </c>
      <c r="AL230">
        <v>1</v>
      </c>
      <c r="AM230">
        <v>10</v>
      </c>
      <c r="AN230">
        <v>2</v>
      </c>
      <c r="AO230" t="s">
        <v>1432</v>
      </c>
      <c r="AP230" t="s">
        <v>1433</v>
      </c>
      <c r="AQ230">
        <v>0.33200000000000002</v>
      </c>
      <c r="AR230" t="s">
        <v>69</v>
      </c>
      <c r="AS230">
        <v>19</v>
      </c>
      <c r="AT230">
        <v>3</v>
      </c>
      <c r="AU230">
        <v>2.112E-2</v>
      </c>
      <c r="AV230">
        <v>-4.2900000000000004E-3</v>
      </c>
      <c r="AW230">
        <v>8.5559999999999997E-2</v>
      </c>
      <c r="AX230">
        <v>-1.8460000000000001E-2</v>
      </c>
      <c r="AY230">
        <v>4.0400000000000002E-3</v>
      </c>
      <c r="AZ230">
        <v>-7.1000000000000002E-4</v>
      </c>
      <c r="BA230">
        <v>4.7169999999999997E-2</v>
      </c>
      <c r="BB230">
        <v>1</v>
      </c>
      <c r="BC230" t="s">
        <v>70</v>
      </c>
      <c r="BD230">
        <v>0.60199999999999998</v>
      </c>
      <c r="BE230">
        <v>0.23499999999999999</v>
      </c>
      <c r="BF230" t="s">
        <v>71</v>
      </c>
      <c r="BG230">
        <v>1.3215859030837E-2</v>
      </c>
      <c r="BI230">
        <v>22</v>
      </c>
      <c r="BJ230">
        <v>4.7169999999999997E-2</v>
      </c>
      <c r="BK230">
        <v>1.3215859030837E-2</v>
      </c>
    </row>
    <row r="231" spans="1:63">
      <c r="A231">
        <v>1446</v>
      </c>
      <c r="B231" t="s">
        <v>1436</v>
      </c>
      <c r="D231" t="s">
        <v>60</v>
      </c>
      <c r="E231">
        <v>1488973</v>
      </c>
      <c r="F231">
        <v>1489680</v>
      </c>
      <c r="G231" t="s">
        <v>1438</v>
      </c>
      <c r="H231">
        <v>236</v>
      </c>
      <c r="I231" t="s">
        <v>63</v>
      </c>
      <c r="J231">
        <v>5</v>
      </c>
      <c r="K231" t="str">
        <f>HYPERLINK("Gene1446-zp_tree_all.dnd", "Gene1446-tree")</f>
        <v>Gene1446-tree</v>
      </c>
      <c r="L231">
        <v>4</v>
      </c>
      <c r="M231">
        <v>1</v>
      </c>
      <c r="N231">
        <v>4</v>
      </c>
      <c r="O231">
        <v>1</v>
      </c>
      <c r="P231">
        <v>0.2</v>
      </c>
      <c r="Q231" t="s">
        <v>64</v>
      </c>
      <c r="R231" t="s">
        <v>65</v>
      </c>
      <c r="S231" t="s">
        <v>66</v>
      </c>
      <c r="T231" t="s">
        <v>66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2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5</v>
      </c>
      <c r="AJ231">
        <v>2</v>
      </c>
      <c r="AK231">
        <v>21</v>
      </c>
      <c r="AL231">
        <v>1</v>
      </c>
      <c r="AM231">
        <v>18</v>
      </c>
      <c r="AN231">
        <v>1</v>
      </c>
      <c r="AO231" t="s">
        <v>1439</v>
      </c>
      <c r="AP231" t="s">
        <v>1440</v>
      </c>
      <c r="AQ231">
        <v>4.7E-2</v>
      </c>
      <c r="AR231" t="s">
        <v>69</v>
      </c>
      <c r="AS231">
        <v>39</v>
      </c>
      <c r="AT231">
        <v>2</v>
      </c>
      <c r="AU231">
        <v>2.7119999999999998E-2</v>
      </c>
      <c r="AV231">
        <v>-4.3800000000000002E-3</v>
      </c>
      <c r="AW231">
        <v>0.12231</v>
      </c>
      <c r="AX231">
        <v>-2.0729999999999998E-2</v>
      </c>
      <c r="AY231">
        <v>1.8400000000000001E-3</v>
      </c>
      <c r="AZ231">
        <v>-3.2000000000000003E-4</v>
      </c>
      <c r="BA231">
        <v>1.508E-2</v>
      </c>
      <c r="BB231">
        <v>1</v>
      </c>
      <c r="BC231" t="s">
        <v>70</v>
      </c>
      <c r="BD231">
        <v>0.83399999999999996</v>
      </c>
      <c r="BE231">
        <v>0.83399999999999996</v>
      </c>
      <c r="BF231" t="s">
        <v>71</v>
      </c>
      <c r="BG231">
        <v>0.14285714285714199</v>
      </c>
      <c r="BI231">
        <v>41</v>
      </c>
      <c r="BJ231">
        <v>1.508E-2</v>
      </c>
      <c r="BK231">
        <v>0.14285714285714199</v>
      </c>
    </row>
    <row r="232" spans="1:63">
      <c r="A232">
        <v>1448</v>
      </c>
      <c r="B232" t="s">
        <v>1441</v>
      </c>
      <c r="D232" t="s">
        <v>60</v>
      </c>
      <c r="E232">
        <v>1490939</v>
      </c>
      <c r="F232">
        <v>1491181</v>
      </c>
      <c r="G232" t="s">
        <v>74</v>
      </c>
      <c r="H232">
        <v>81</v>
      </c>
      <c r="I232" t="s">
        <v>63</v>
      </c>
      <c r="J232">
        <v>5</v>
      </c>
      <c r="K232" t="str">
        <f>HYPERLINK("Gene1448-zp_tree_all.dnd", "Gene1448-tree")</f>
        <v>Gene1448-tree</v>
      </c>
      <c r="L232">
        <v>5</v>
      </c>
      <c r="M232">
        <v>0</v>
      </c>
      <c r="N232">
        <v>5</v>
      </c>
      <c r="O232">
        <v>0</v>
      </c>
      <c r="P232">
        <v>0</v>
      </c>
      <c r="Q232" t="s">
        <v>96</v>
      </c>
      <c r="R232" t="s">
        <v>66</v>
      </c>
      <c r="S232" t="s">
        <v>66</v>
      </c>
      <c r="T232" t="s">
        <v>66</v>
      </c>
      <c r="U232">
        <v>0</v>
      </c>
      <c r="V232">
        <v>0</v>
      </c>
      <c r="W232">
        <v>2</v>
      </c>
      <c r="X232">
        <v>0</v>
      </c>
      <c r="Y232">
        <v>0</v>
      </c>
      <c r="Z232">
        <v>0</v>
      </c>
      <c r="AA232">
        <v>0</v>
      </c>
      <c r="AB232">
        <v>2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4</v>
      </c>
      <c r="AJ232">
        <v>2</v>
      </c>
      <c r="AK232">
        <v>6</v>
      </c>
      <c r="AL232">
        <v>0</v>
      </c>
      <c r="AM232">
        <v>5</v>
      </c>
      <c r="AN232">
        <v>2</v>
      </c>
      <c r="AO232" t="s">
        <v>68</v>
      </c>
      <c r="AP232" t="s">
        <v>1443</v>
      </c>
      <c r="AQ232">
        <v>1.028</v>
      </c>
      <c r="AR232" t="s">
        <v>69</v>
      </c>
      <c r="AS232">
        <v>11</v>
      </c>
      <c r="AT232">
        <v>2</v>
      </c>
      <c r="AU232">
        <v>2.716E-2</v>
      </c>
      <c r="AV232">
        <v>-4.0400000000000002E-3</v>
      </c>
      <c r="AW232">
        <v>0.11242000000000001</v>
      </c>
      <c r="AX232">
        <v>-1.529E-2</v>
      </c>
      <c r="AY232">
        <v>6.3400000000000001E-3</v>
      </c>
      <c r="AZ232">
        <v>-1.5100000000000001E-3</v>
      </c>
      <c r="BA232">
        <v>5.6399999999999999E-2</v>
      </c>
      <c r="BB232">
        <v>1</v>
      </c>
      <c r="BC232" t="s">
        <v>70</v>
      </c>
      <c r="BD232">
        <v>0.41899999999999998</v>
      </c>
      <c r="BE232">
        <v>0.41899999999999998</v>
      </c>
      <c r="BF232" t="s">
        <v>71</v>
      </c>
      <c r="BG232">
        <v>0.247524752475247</v>
      </c>
      <c r="BI232">
        <v>13</v>
      </c>
      <c r="BJ232">
        <v>5.6399999999999999E-2</v>
      </c>
      <c r="BK232">
        <v>0.247524752475247</v>
      </c>
    </row>
    <row r="233" spans="1:63">
      <c r="A233">
        <v>1464</v>
      </c>
      <c r="B233" t="s">
        <v>1447</v>
      </c>
      <c r="D233" t="s">
        <v>60</v>
      </c>
      <c r="E233">
        <v>1505416</v>
      </c>
      <c r="F233">
        <v>1506105</v>
      </c>
      <c r="G233" t="s">
        <v>560</v>
      </c>
      <c r="H233">
        <v>230</v>
      </c>
      <c r="I233" t="s">
        <v>85</v>
      </c>
      <c r="J233">
        <v>4</v>
      </c>
      <c r="K233" t="str">
        <f>HYPERLINK("Gene1464-zp_tree_all.dnd", "Gene1464-tree")</f>
        <v>Gene1464-tree</v>
      </c>
      <c r="L233">
        <v>0</v>
      </c>
      <c r="M233">
        <v>4</v>
      </c>
      <c r="N233">
        <v>0</v>
      </c>
      <c r="O233">
        <v>4</v>
      </c>
      <c r="P233">
        <v>1</v>
      </c>
      <c r="Q233" t="s">
        <v>66</v>
      </c>
      <c r="R233" t="s">
        <v>64</v>
      </c>
      <c r="S233" t="s">
        <v>66</v>
      </c>
      <c r="T233" t="s">
        <v>66</v>
      </c>
      <c r="U233">
        <v>0</v>
      </c>
      <c r="V233">
        <v>0</v>
      </c>
      <c r="W233">
        <v>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8</v>
      </c>
      <c r="AH233">
        <v>0</v>
      </c>
      <c r="AI233">
        <v>3</v>
      </c>
      <c r="AJ233">
        <v>1</v>
      </c>
      <c r="AK233">
        <v>26</v>
      </c>
      <c r="AL233">
        <v>7</v>
      </c>
      <c r="AM233">
        <v>4</v>
      </c>
      <c r="AN233">
        <v>1</v>
      </c>
      <c r="AO233" t="s">
        <v>1449</v>
      </c>
      <c r="AP233" t="s">
        <v>1450</v>
      </c>
      <c r="AQ233">
        <v>4.8000000000000001E-2</v>
      </c>
      <c r="AR233" t="s">
        <v>69</v>
      </c>
      <c r="AS233">
        <v>30</v>
      </c>
      <c r="AT233">
        <v>8</v>
      </c>
      <c r="AU233">
        <v>2.826E-2</v>
      </c>
      <c r="AV233">
        <v>-6.0400000000000002E-3</v>
      </c>
      <c r="AW233">
        <v>0.10481</v>
      </c>
      <c r="AX233">
        <v>-2.6100000000000002E-2</v>
      </c>
      <c r="AY233">
        <v>7.92E-3</v>
      </c>
      <c r="AZ233">
        <v>-1.2199999999999999E-3</v>
      </c>
      <c r="BA233">
        <v>7.5560000000000002E-2</v>
      </c>
      <c r="BB233">
        <v>1</v>
      </c>
      <c r="BC233" t="s">
        <v>70</v>
      </c>
      <c r="BD233">
        <v>-0.35</v>
      </c>
      <c r="BE233">
        <v>-0.60699999999999998</v>
      </c>
      <c r="BF233" t="s">
        <v>71</v>
      </c>
      <c r="BG233">
        <v>0.160714285714285</v>
      </c>
      <c r="BI233">
        <v>38</v>
      </c>
      <c r="BJ233">
        <v>7.5560000000000002E-2</v>
      </c>
      <c r="BK233">
        <v>0.160714285714285</v>
      </c>
    </row>
    <row r="234" spans="1:63">
      <c r="A234">
        <v>1466</v>
      </c>
      <c r="B234" t="s">
        <v>1451</v>
      </c>
      <c r="D234" t="s">
        <v>60</v>
      </c>
      <c r="E234">
        <v>1507578</v>
      </c>
      <c r="F234">
        <v>1508330</v>
      </c>
      <c r="G234" t="s">
        <v>1453</v>
      </c>
      <c r="H234">
        <v>251</v>
      </c>
      <c r="I234" t="s">
        <v>63</v>
      </c>
      <c r="J234">
        <v>5</v>
      </c>
      <c r="K234" t="str">
        <f>HYPERLINK("Gene1466-zp_tree_all.dnd", "Gene1466-tree")</f>
        <v>Gene1466-tree</v>
      </c>
      <c r="L234">
        <v>4</v>
      </c>
      <c r="M234">
        <v>1</v>
      </c>
      <c r="N234">
        <v>4</v>
      </c>
      <c r="O234">
        <v>1</v>
      </c>
      <c r="P234">
        <v>0.2</v>
      </c>
      <c r="Q234" t="s">
        <v>64</v>
      </c>
      <c r="R234" t="s">
        <v>65</v>
      </c>
      <c r="S234" t="s">
        <v>66</v>
      </c>
      <c r="T234" t="s">
        <v>66</v>
      </c>
      <c r="U234">
        <v>0</v>
      </c>
      <c r="V234">
        <v>0</v>
      </c>
      <c r="W234">
        <v>6</v>
      </c>
      <c r="X234">
        <v>0</v>
      </c>
      <c r="Y234">
        <v>0</v>
      </c>
      <c r="Z234">
        <v>0</v>
      </c>
      <c r="AA234">
        <v>0</v>
      </c>
      <c r="AB234">
        <v>5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0</v>
      </c>
      <c r="AI234">
        <v>5</v>
      </c>
      <c r="AJ234">
        <v>2</v>
      </c>
      <c r="AK234">
        <v>10</v>
      </c>
      <c r="AL234">
        <v>1</v>
      </c>
      <c r="AM234">
        <v>20</v>
      </c>
      <c r="AN234">
        <v>5</v>
      </c>
      <c r="AO234" t="s">
        <v>1454</v>
      </c>
      <c r="AP234" t="s">
        <v>1455</v>
      </c>
      <c r="AQ234">
        <v>0.372</v>
      </c>
      <c r="AR234" t="s">
        <v>69</v>
      </c>
      <c r="AS234">
        <v>30</v>
      </c>
      <c r="AT234">
        <v>6</v>
      </c>
      <c r="AU234">
        <v>2.4969999999999999E-2</v>
      </c>
      <c r="AV234">
        <v>-5.0099999999999997E-3</v>
      </c>
      <c r="AW234">
        <v>9.8150000000000001E-2</v>
      </c>
      <c r="AX234">
        <v>-1.9789999999999999E-2</v>
      </c>
      <c r="AY234">
        <v>5.8799999999999998E-3</v>
      </c>
      <c r="AZ234">
        <v>-1.1900000000000001E-3</v>
      </c>
      <c r="BA234">
        <v>5.9950000000000003E-2</v>
      </c>
      <c r="BB234">
        <v>1</v>
      </c>
      <c r="BC234" t="s">
        <v>70</v>
      </c>
      <c r="BD234">
        <v>1.139</v>
      </c>
      <c r="BE234">
        <v>0.95599999999999996</v>
      </c>
      <c r="BF234" t="s">
        <v>71</v>
      </c>
      <c r="BG234">
        <v>7.0063694267515894E-2</v>
      </c>
      <c r="BI234">
        <v>36</v>
      </c>
      <c r="BJ234">
        <v>5.9950000000000003E-2</v>
      </c>
      <c r="BK234">
        <v>7.0063694267515894E-2</v>
      </c>
    </row>
    <row r="235" spans="1:63">
      <c r="A235">
        <v>1467</v>
      </c>
      <c r="B235" t="s">
        <v>1456</v>
      </c>
      <c r="D235" t="s">
        <v>60</v>
      </c>
      <c r="E235">
        <v>1508330</v>
      </c>
      <c r="F235">
        <v>1509238</v>
      </c>
      <c r="G235" t="s">
        <v>1458</v>
      </c>
      <c r="H235">
        <v>303</v>
      </c>
      <c r="I235" t="s">
        <v>85</v>
      </c>
      <c r="J235">
        <v>4</v>
      </c>
      <c r="K235" t="str">
        <f>HYPERLINK("Gene1467-zp_tree_all.dnd", "Gene1467-tree")</f>
        <v>Gene1467-tree</v>
      </c>
      <c r="L235">
        <v>2</v>
      </c>
      <c r="M235">
        <v>2</v>
      </c>
      <c r="N235">
        <v>2</v>
      </c>
      <c r="O235">
        <v>2</v>
      </c>
      <c r="P235">
        <v>0.5</v>
      </c>
      <c r="Q235" t="s">
        <v>124</v>
      </c>
      <c r="R235" t="s">
        <v>124</v>
      </c>
      <c r="S235" t="s">
        <v>66</v>
      </c>
      <c r="T235" t="s">
        <v>66</v>
      </c>
      <c r="U235">
        <v>1</v>
      </c>
      <c r="V235">
        <v>2</v>
      </c>
      <c r="W235">
        <v>4</v>
      </c>
      <c r="X235">
        <v>0.33333000000000002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2</v>
      </c>
      <c r="AF235">
        <v>2</v>
      </c>
      <c r="AG235">
        <v>4</v>
      </c>
      <c r="AH235">
        <v>0.33333000000000002</v>
      </c>
      <c r="AI235">
        <v>3</v>
      </c>
      <c r="AJ235">
        <v>1</v>
      </c>
      <c r="AK235">
        <v>33</v>
      </c>
      <c r="AL235">
        <v>7</v>
      </c>
      <c r="AM235">
        <v>6</v>
      </c>
      <c r="AN235">
        <v>0</v>
      </c>
      <c r="AO235" t="s">
        <v>1459</v>
      </c>
      <c r="AP235" t="s">
        <v>68</v>
      </c>
      <c r="AQ235">
        <v>0.72399999999999998</v>
      </c>
      <c r="AR235" t="s">
        <v>69</v>
      </c>
      <c r="AS235">
        <v>39</v>
      </c>
      <c r="AT235">
        <v>7</v>
      </c>
      <c r="AU235">
        <v>2.6040000000000001E-2</v>
      </c>
      <c r="AV235">
        <v>-6.96E-3</v>
      </c>
      <c r="AW235">
        <v>9.9739999999999995E-2</v>
      </c>
      <c r="AX235">
        <v>-2.6360000000000001E-2</v>
      </c>
      <c r="AY235">
        <v>5.1200000000000004E-3</v>
      </c>
      <c r="AZ235">
        <v>-1.72E-3</v>
      </c>
      <c r="BA235">
        <v>5.135E-2</v>
      </c>
      <c r="BB235">
        <v>1</v>
      </c>
      <c r="BC235" t="s">
        <v>70</v>
      </c>
      <c r="BD235">
        <v>-0.372</v>
      </c>
      <c r="BE235">
        <v>-0.58399999999999996</v>
      </c>
      <c r="BF235" t="s">
        <v>71</v>
      </c>
      <c r="BG235">
        <v>8.8669950738916203E-2</v>
      </c>
      <c r="BI235">
        <v>46</v>
      </c>
      <c r="BJ235">
        <v>5.135E-2</v>
      </c>
      <c r="BK235">
        <v>8.8669950738916203E-2</v>
      </c>
    </row>
    <row r="236" spans="1:63">
      <c r="A236">
        <v>1469</v>
      </c>
      <c r="B236" t="s">
        <v>1460</v>
      </c>
      <c r="D236" t="s">
        <v>60</v>
      </c>
      <c r="E236">
        <v>1511308</v>
      </c>
      <c r="F236">
        <v>1511886</v>
      </c>
      <c r="G236" t="s">
        <v>1462</v>
      </c>
      <c r="H236">
        <v>193</v>
      </c>
      <c r="I236" t="s">
        <v>63</v>
      </c>
      <c r="J236">
        <v>5</v>
      </c>
      <c r="K236" t="str">
        <f>HYPERLINK("Gene1469-zp_tree_all.dnd", "Gene1469-tree")</f>
        <v>Gene1469-tree</v>
      </c>
      <c r="L236">
        <v>4</v>
      </c>
      <c r="M236">
        <v>1</v>
      </c>
      <c r="N236">
        <v>3</v>
      </c>
      <c r="O236">
        <v>1</v>
      </c>
      <c r="P236">
        <v>0.25</v>
      </c>
      <c r="Q236" t="s">
        <v>112</v>
      </c>
      <c r="R236" t="s">
        <v>65</v>
      </c>
      <c r="S236" t="s">
        <v>66</v>
      </c>
      <c r="T236" t="s">
        <v>66</v>
      </c>
      <c r="U236">
        <v>0</v>
      </c>
      <c r="V236">
        <v>0</v>
      </c>
      <c r="W236">
        <v>3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2</v>
      </c>
      <c r="AH236">
        <v>0</v>
      </c>
      <c r="AI236">
        <v>4</v>
      </c>
      <c r="AJ236">
        <v>1</v>
      </c>
      <c r="AK236">
        <v>7</v>
      </c>
      <c r="AL236">
        <v>2</v>
      </c>
      <c r="AM236">
        <v>20</v>
      </c>
      <c r="AN236">
        <v>1</v>
      </c>
      <c r="AO236" t="s">
        <v>1463</v>
      </c>
      <c r="AP236" t="s">
        <v>1464</v>
      </c>
      <c r="AQ236">
        <v>0.52100000000000002</v>
      </c>
      <c r="AR236" t="s">
        <v>69</v>
      </c>
      <c r="AS236">
        <v>27</v>
      </c>
      <c r="AT236">
        <v>3</v>
      </c>
      <c r="AU236">
        <v>3.0800000000000001E-2</v>
      </c>
      <c r="AV236">
        <v>-6.7099999999999998E-3</v>
      </c>
      <c r="AW236">
        <v>0.1356</v>
      </c>
      <c r="AX236">
        <v>-3.1519999999999999E-2</v>
      </c>
      <c r="AY236">
        <v>3.7599999999999999E-3</v>
      </c>
      <c r="AZ236">
        <v>-8.0000000000000004E-4</v>
      </c>
      <c r="BA236">
        <v>2.7720000000000002E-2</v>
      </c>
      <c r="BB236">
        <v>1</v>
      </c>
      <c r="BC236" t="s">
        <v>70</v>
      </c>
      <c r="BD236">
        <v>1.3660000000000001</v>
      </c>
      <c r="BE236">
        <v>1.089</v>
      </c>
      <c r="BF236" t="s">
        <v>71</v>
      </c>
      <c r="BG236">
        <v>0.13114754098360601</v>
      </c>
      <c r="BI236">
        <v>30</v>
      </c>
      <c r="BJ236">
        <v>2.7720000000000002E-2</v>
      </c>
      <c r="BK236">
        <v>0.13114754098360601</v>
      </c>
    </row>
    <row r="237" spans="1:63">
      <c r="A237">
        <v>1471</v>
      </c>
      <c r="B237" t="s">
        <v>1465</v>
      </c>
      <c r="D237" t="s">
        <v>60</v>
      </c>
      <c r="E237">
        <v>1512373</v>
      </c>
      <c r="F237">
        <v>1513992</v>
      </c>
      <c r="G237" t="s">
        <v>560</v>
      </c>
      <c r="H237">
        <v>540</v>
      </c>
      <c r="I237" t="s">
        <v>85</v>
      </c>
      <c r="J237">
        <v>4</v>
      </c>
      <c r="K237" t="str">
        <f>HYPERLINK("Gene1471-zp_tree_all.dnd", "Gene1471-tree")</f>
        <v>Gene1471-tree</v>
      </c>
      <c r="L237">
        <v>2</v>
      </c>
      <c r="M237">
        <v>2</v>
      </c>
      <c r="N237">
        <v>2</v>
      </c>
      <c r="O237">
        <v>2</v>
      </c>
      <c r="P237">
        <v>0.5</v>
      </c>
      <c r="Q237" t="s">
        <v>124</v>
      </c>
      <c r="R237" t="s">
        <v>124</v>
      </c>
      <c r="S237" t="s">
        <v>66</v>
      </c>
      <c r="T237" t="s">
        <v>66</v>
      </c>
      <c r="U237">
        <v>0</v>
      </c>
      <c r="V237">
        <v>0</v>
      </c>
      <c r="W237">
        <v>4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4</v>
      </c>
      <c r="AH237">
        <v>0</v>
      </c>
      <c r="AI237">
        <v>4</v>
      </c>
      <c r="AJ237">
        <v>1</v>
      </c>
      <c r="AK237">
        <v>77</v>
      </c>
      <c r="AL237">
        <v>5</v>
      </c>
      <c r="AM237">
        <v>10</v>
      </c>
      <c r="AN237">
        <v>0</v>
      </c>
      <c r="AO237" t="s">
        <v>1467</v>
      </c>
      <c r="AP237" t="s">
        <v>68</v>
      </c>
      <c r="AQ237">
        <v>0.53800000000000003</v>
      </c>
      <c r="AR237" t="s">
        <v>69</v>
      </c>
      <c r="AS237">
        <v>87</v>
      </c>
      <c r="AT237">
        <v>5</v>
      </c>
      <c r="AU237">
        <v>2.8709999999999999E-2</v>
      </c>
      <c r="AV237">
        <v>-7.9500000000000005E-3</v>
      </c>
      <c r="AW237">
        <v>0.14218</v>
      </c>
      <c r="AX237">
        <v>-4.0969999999999999E-2</v>
      </c>
      <c r="AY237">
        <v>1.99E-3</v>
      </c>
      <c r="AZ237">
        <v>-6.0999999999999997E-4</v>
      </c>
      <c r="BA237">
        <v>1.3979999999999999E-2</v>
      </c>
      <c r="BB237">
        <v>1</v>
      </c>
      <c r="BC237" t="s">
        <v>70</v>
      </c>
      <c r="BD237">
        <v>-0.28499999999999998</v>
      </c>
      <c r="BE237">
        <v>-0.65600000000000003</v>
      </c>
      <c r="BF237" t="s">
        <v>71</v>
      </c>
      <c r="BG237">
        <v>7.9943899018232803E-2</v>
      </c>
      <c r="BI237">
        <v>92</v>
      </c>
      <c r="BJ237">
        <v>1.3979999999999999E-2</v>
      </c>
      <c r="BK237">
        <v>7.9943899018232803E-2</v>
      </c>
    </row>
    <row r="238" spans="1:63">
      <c r="A238">
        <v>1477</v>
      </c>
      <c r="B238" t="s">
        <v>1470</v>
      </c>
      <c r="D238" t="s">
        <v>60</v>
      </c>
      <c r="E238">
        <v>1518333</v>
      </c>
      <c r="F238">
        <v>1519616</v>
      </c>
      <c r="G238" t="s">
        <v>1472</v>
      </c>
      <c r="H238">
        <v>428</v>
      </c>
      <c r="I238" t="s">
        <v>85</v>
      </c>
      <c r="J238">
        <v>4</v>
      </c>
      <c r="K238" t="str">
        <f>HYPERLINK("Gene1477-zp_tree_all.dnd", "Gene1477-tree")</f>
        <v>Gene1477-tree</v>
      </c>
      <c r="L238">
        <v>2</v>
      </c>
      <c r="M238">
        <v>2</v>
      </c>
      <c r="N238">
        <v>2</v>
      </c>
      <c r="O238">
        <v>2</v>
      </c>
      <c r="P238">
        <v>0.5</v>
      </c>
      <c r="Q238" t="s">
        <v>124</v>
      </c>
      <c r="R238" t="s">
        <v>124</v>
      </c>
      <c r="S238" t="s">
        <v>66</v>
      </c>
      <c r="T238" t="s">
        <v>66</v>
      </c>
      <c r="U238">
        <v>0</v>
      </c>
      <c r="V238">
        <v>0</v>
      </c>
      <c r="W238">
        <v>10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10</v>
      </c>
      <c r="AH238">
        <v>0</v>
      </c>
      <c r="AI238">
        <v>4</v>
      </c>
      <c r="AJ238">
        <v>1</v>
      </c>
      <c r="AK238">
        <v>55</v>
      </c>
      <c r="AL238">
        <v>10</v>
      </c>
      <c r="AM238">
        <v>8</v>
      </c>
      <c r="AN238">
        <v>0</v>
      </c>
      <c r="AO238" t="s">
        <v>1473</v>
      </c>
      <c r="AP238" t="s">
        <v>68</v>
      </c>
      <c r="AQ238">
        <v>0.52500000000000002</v>
      </c>
      <c r="AR238" t="s">
        <v>69</v>
      </c>
      <c r="AS238">
        <v>63</v>
      </c>
      <c r="AT238">
        <v>10</v>
      </c>
      <c r="AU238">
        <v>2.869E-2</v>
      </c>
      <c r="AV238">
        <v>-7.8100000000000001E-3</v>
      </c>
      <c r="AW238">
        <v>0.13114999999999999</v>
      </c>
      <c r="AX238">
        <v>-3.5619999999999999E-2</v>
      </c>
      <c r="AY238">
        <v>4.9800000000000001E-3</v>
      </c>
      <c r="AZ238">
        <v>-1.7700000000000001E-3</v>
      </c>
      <c r="BA238">
        <v>3.798E-2</v>
      </c>
      <c r="BB238">
        <v>1</v>
      </c>
      <c r="BC238" t="s">
        <v>70</v>
      </c>
      <c r="BD238">
        <v>-0.36899999999999999</v>
      </c>
      <c r="BE238">
        <v>-0.64200000000000002</v>
      </c>
      <c r="BF238" t="s">
        <v>71</v>
      </c>
      <c r="BG238">
        <v>9.41176470588235E-2</v>
      </c>
      <c r="BI238">
        <v>73</v>
      </c>
      <c r="BJ238">
        <v>3.798E-2</v>
      </c>
      <c r="BK238">
        <v>9.41176470588235E-2</v>
      </c>
    </row>
    <row r="239" spans="1:63">
      <c r="A239">
        <v>1487</v>
      </c>
      <c r="B239" t="s">
        <v>1476</v>
      </c>
      <c r="D239" t="s">
        <v>60</v>
      </c>
      <c r="E239">
        <v>1528326</v>
      </c>
      <c r="F239">
        <v>1529438</v>
      </c>
      <c r="G239" t="s">
        <v>1478</v>
      </c>
      <c r="H239">
        <v>371</v>
      </c>
      <c r="I239" t="s">
        <v>63</v>
      </c>
      <c r="J239">
        <v>5</v>
      </c>
      <c r="K239" t="str">
        <f>HYPERLINK("Gene1487-zp_tree_all.dnd", "Gene1487-tree")</f>
        <v>Gene1487-tree</v>
      </c>
      <c r="L239">
        <v>5</v>
      </c>
      <c r="M239">
        <v>0</v>
      </c>
      <c r="N239">
        <v>5</v>
      </c>
      <c r="O239">
        <v>0</v>
      </c>
      <c r="P239">
        <v>0</v>
      </c>
      <c r="Q239" t="s">
        <v>96</v>
      </c>
      <c r="R239" t="s">
        <v>66</v>
      </c>
      <c r="S239" t="s">
        <v>66</v>
      </c>
      <c r="T239" t="s">
        <v>66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5</v>
      </c>
      <c r="AJ239">
        <v>2</v>
      </c>
      <c r="AK239">
        <v>14</v>
      </c>
      <c r="AL239">
        <v>0</v>
      </c>
      <c r="AM239">
        <v>24</v>
      </c>
      <c r="AN239">
        <v>0</v>
      </c>
      <c r="AO239" t="s">
        <v>68</v>
      </c>
      <c r="AP239" t="s">
        <v>68</v>
      </c>
      <c r="AQ239">
        <v>0</v>
      </c>
      <c r="AR239" t="s">
        <v>69</v>
      </c>
      <c r="AS239">
        <v>38</v>
      </c>
      <c r="AT239">
        <v>0</v>
      </c>
      <c r="AU239">
        <v>1.7610000000000001E-2</v>
      </c>
      <c r="AV239">
        <v>-3.2799999999999999E-3</v>
      </c>
      <c r="AW239">
        <v>8.3790000000000003E-2</v>
      </c>
      <c r="AX239">
        <v>-1.6049999999999998E-2</v>
      </c>
      <c r="AY239">
        <v>0</v>
      </c>
      <c r="AZ239">
        <v>0</v>
      </c>
      <c r="BA239">
        <v>0</v>
      </c>
      <c r="BB239">
        <v>1</v>
      </c>
      <c r="BC239" t="s">
        <v>70</v>
      </c>
      <c r="BD239">
        <v>0.77800000000000002</v>
      </c>
      <c r="BE239">
        <v>0.77800000000000002</v>
      </c>
      <c r="BF239" t="s">
        <v>71</v>
      </c>
      <c r="BG239">
        <v>3.3057851239669402E-2</v>
      </c>
      <c r="BI239">
        <v>38</v>
      </c>
      <c r="BJ239">
        <v>0</v>
      </c>
      <c r="BK239">
        <v>3.3057851239669402E-2</v>
      </c>
    </row>
    <row r="240" spans="1:63">
      <c r="A240">
        <v>1488</v>
      </c>
      <c r="B240" t="s">
        <v>1479</v>
      </c>
      <c r="D240" t="s">
        <v>60</v>
      </c>
      <c r="E240">
        <v>1529445</v>
      </c>
      <c r="F240">
        <v>1530419</v>
      </c>
      <c r="G240" t="s">
        <v>1481</v>
      </c>
      <c r="H240">
        <v>325</v>
      </c>
      <c r="I240" t="s">
        <v>63</v>
      </c>
      <c r="J240">
        <v>5</v>
      </c>
      <c r="K240" t="str">
        <f>HYPERLINK("Gene1488-zp_tree_all.dnd", "Gene1488-tree")</f>
        <v>Gene1488-tree</v>
      </c>
      <c r="L240">
        <v>3</v>
      </c>
      <c r="M240">
        <v>2</v>
      </c>
      <c r="N240">
        <v>3</v>
      </c>
      <c r="O240">
        <v>2</v>
      </c>
      <c r="P240">
        <v>0.4</v>
      </c>
      <c r="Q240" t="s">
        <v>86</v>
      </c>
      <c r="R240" t="s">
        <v>124</v>
      </c>
      <c r="S240" t="s">
        <v>66</v>
      </c>
      <c r="T240" t="s">
        <v>66</v>
      </c>
      <c r="U240">
        <v>0</v>
      </c>
      <c r="V240">
        <v>0</v>
      </c>
      <c r="W240">
        <v>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2</v>
      </c>
      <c r="AH240">
        <v>0</v>
      </c>
      <c r="AI240">
        <v>5</v>
      </c>
      <c r="AJ240">
        <v>2</v>
      </c>
      <c r="AK240">
        <v>19</v>
      </c>
      <c r="AL240">
        <v>2</v>
      </c>
      <c r="AM240">
        <v>23</v>
      </c>
      <c r="AN240">
        <v>0</v>
      </c>
      <c r="AO240" t="s">
        <v>1482</v>
      </c>
      <c r="AP240" t="s">
        <v>68</v>
      </c>
      <c r="AQ240">
        <v>1.1910000000000001</v>
      </c>
      <c r="AR240" t="s">
        <v>69</v>
      </c>
      <c r="AS240">
        <v>42</v>
      </c>
      <c r="AT240">
        <v>2</v>
      </c>
      <c r="AU240">
        <v>2.1950000000000001E-2</v>
      </c>
      <c r="AV240">
        <v>-3.7699999999999999E-3</v>
      </c>
      <c r="AW240">
        <v>9.5820000000000002E-2</v>
      </c>
      <c r="AX240">
        <v>-1.7469999999999999E-2</v>
      </c>
      <c r="AY240">
        <v>1.08E-3</v>
      </c>
      <c r="AZ240">
        <v>-2.5999999999999998E-4</v>
      </c>
      <c r="BA240">
        <v>1.128E-2</v>
      </c>
      <c r="BB240">
        <v>1</v>
      </c>
      <c r="BC240" t="s">
        <v>70</v>
      </c>
      <c r="BD240">
        <v>0.65800000000000003</v>
      </c>
      <c r="BE240">
        <v>0.122</v>
      </c>
      <c r="BF240" t="s">
        <v>71</v>
      </c>
      <c r="BG240">
        <v>4.54545454545454E-2</v>
      </c>
      <c r="BI240">
        <v>44</v>
      </c>
      <c r="BJ240">
        <v>1.128E-2</v>
      </c>
      <c r="BK240">
        <v>4.54545454545454E-2</v>
      </c>
    </row>
    <row r="241" spans="1:63">
      <c r="A241">
        <v>1489</v>
      </c>
      <c r="B241" t="s">
        <v>1483</v>
      </c>
      <c r="D241" t="s">
        <v>60</v>
      </c>
      <c r="E241">
        <v>1530537</v>
      </c>
      <c r="F241">
        <v>1531862</v>
      </c>
      <c r="G241" t="s">
        <v>1485</v>
      </c>
      <c r="H241">
        <v>442</v>
      </c>
      <c r="I241" t="s">
        <v>63</v>
      </c>
      <c r="J241">
        <v>5</v>
      </c>
      <c r="K241" t="str">
        <f>HYPERLINK("Gene1489-zp_tree_all.dnd", "Gene1489-tree")</f>
        <v>Gene1489-tree</v>
      </c>
      <c r="L241">
        <v>5</v>
      </c>
      <c r="M241">
        <v>0</v>
      </c>
      <c r="N241">
        <v>5</v>
      </c>
      <c r="O241">
        <v>0</v>
      </c>
      <c r="P241">
        <v>0</v>
      </c>
      <c r="Q241" t="s">
        <v>96</v>
      </c>
      <c r="R241" t="s">
        <v>66</v>
      </c>
      <c r="S241" t="s">
        <v>66</v>
      </c>
      <c r="T241" t="s">
        <v>66</v>
      </c>
      <c r="U241">
        <v>0</v>
      </c>
      <c r="V241">
        <v>0</v>
      </c>
      <c r="W241">
        <v>3</v>
      </c>
      <c r="X241">
        <v>0</v>
      </c>
      <c r="Y241">
        <v>0</v>
      </c>
      <c r="Z241">
        <v>0</v>
      </c>
      <c r="AA241">
        <v>0</v>
      </c>
      <c r="AB241">
        <v>3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5</v>
      </c>
      <c r="AJ241">
        <v>1</v>
      </c>
      <c r="AK241">
        <v>17</v>
      </c>
      <c r="AL241">
        <v>0</v>
      </c>
      <c r="AM241">
        <v>13</v>
      </c>
      <c r="AN241">
        <v>3</v>
      </c>
      <c r="AO241" t="s">
        <v>68</v>
      </c>
      <c r="AP241" t="s">
        <v>1486</v>
      </c>
      <c r="AQ241">
        <v>0</v>
      </c>
      <c r="AR241" t="s">
        <v>69</v>
      </c>
      <c r="AS241">
        <v>30</v>
      </c>
      <c r="AT241">
        <v>3</v>
      </c>
      <c r="AU241">
        <v>1.2370000000000001E-2</v>
      </c>
      <c r="AV241">
        <v>-2.0500000000000002E-3</v>
      </c>
      <c r="AW241">
        <v>4.9410000000000003E-2</v>
      </c>
      <c r="AX241">
        <v>-7.8399999999999997E-3</v>
      </c>
      <c r="AY241">
        <v>1.7700000000000001E-3</v>
      </c>
      <c r="AZ241">
        <v>-4.2000000000000002E-4</v>
      </c>
      <c r="BA241">
        <v>3.585E-2</v>
      </c>
      <c r="BB241">
        <v>1</v>
      </c>
      <c r="BC241" t="s">
        <v>70</v>
      </c>
      <c r="BD241">
        <v>0.26500000000000001</v>
      </c>
      <c r="BE241">
        <v>0.26500000000000001</v>
      </c>
      <c r="BF241" t="s">
        <v>71</v>
      </c>
      <c r="BG241">
        <v>4.2444821731748697E-2</v>
      </c>
      <c r="BI241">
        <v>33</v>
      </c>
      <c r="BJ241">
        <v>3.585E-2</v>
      </c>
      <c r="BK241">
        <v>4.2444821731748697E-2</v>
      </c>
    </row>
    <row r="242" spans="1:63">
      <c r="A242">
        <v>1490</v>
      </c>
      <c r="B242" t="s">
        <v>1487</v>
      </c>
      <c r="D242" t="s">
        <v>60</v>
      </c>
      <c r="E242">
        <v>1531870</v>
      </c>
      <c r="F242">
        <v>1533279</v>
      </c>
      <c r="G242" t="s">
        <v>1489</v>
      </c>
      <c r="H242">
        <v>470</v>
      </c>
      <c r="I242" t="s">
        <v>63</v>
      </c>
      <c r="J242">
        <v>5</v>
      </c>
      <c r="K242" t="str">
        <f>HYPERLINK("Gene1490-zp_tree_all.dnd", "Gene1490-tree")</f>
        <v>Gene1490-tree</v>
      </c>
      <c r="L242">
        <v>4</v>
      </c>
      <c r="M242">
        <v>1</v>
      </c>
      <c r="N242">
        <v>4</v>
      </c>
      <c r="O242">
        <v>1</v>
      </c>
      <c r="P242">
        <v>0.2</v>
      </c>
      <c r="Q242" t="s">
        <v>64</v>
      </c>
      <c r="R242" t="s">
        <v>65</v>
      </c>
      <c r="S242" t="s">
        <v>66</v>
      </c>
      <c r="T242" t="s">
        <v>66</v>
      </c>
      <c r="U242">
        <v>0</v>
      </c>
      <c r="V242">
        <v>0</v>
      </c>
      <c r="W242">
        <v>4</v>
      </c>
      <c r="X242">
        <v>0</v>
      </c>
      <c r="Y242">
        <v>0</v>
      </c>
      <c r="Z242">
        <v>0</v>
      </c>
      <c r="AA242">
        <v>0</v>
      </c>
      <c r="AB242">
        <v>3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5</v>
      </c>
      <c r="AJ242">
        <v>2</v>
      </c>
      <c r="AK242">
        <v>27</v>
      </c>
      <c r="AL242">
        <v>1</v>
      </c>
      <c r="AM242">
        <v>33</v>
      </c>
      <c r="AN242">
        <v>3</v>
      </c>
      <c r="AO242" t="s">
        <v>1490</v>
      </c>
      <c r="AP242" t="s">
        <v>1491</v>
      </c>
      <c r="AQ242">
        <v>0.39700000000000002</v>
      </c>
      <c r="AR242" t="s">
        <v>69</v>
      </c>
      <c r="AS242">
        <v>60</v>
      </c>
      <c r="AT242">
        <v>4</v>
      </c>
      <c r="AU242">
        <v>2.2839999999999999E-2</v>
      </c>
      <c r="AV242">
        <v>-3.9500000000000004E-3</v>
      </c>
      <c r="AW242">
        <v>9.4409999999999994E-2</v>
      </c>
      <c r="AX242">
        <v>-1.6420000000000001E-2</v>
      </c>
      <c r="AY242">
        <v>2.0699999999999998E-3</v>
      </c>
      <c r="AZ242">
        <v>-4.8999999999999998E-4</v>
      </c>
      <c r="BA242">
        <v>2.1919999999999999E-2</v>
      </c>
      <c r="BB242">
        <v>1</v>
      </c>
      <c r="BC242" t="s">
        <v>70</v>
      </c>
      <c r="BD242">
        <v>0.62</v>
      </c>
      <c r="BE242">
        <v>0.62</v>
      </c>
      <c r="BF242" t="s">
        <v>71</v>
      </c>
      <c r="BG242">
        <v>7.7901430842607297E-2</v>
      </c>
      <c r="BI242">
        <v>64</v>
      </c>
      <c r="BJ242">
        <v>2.1919999999999999E-2</v>
      </c>
      <c r="BK242">
        <v>7.7901430842607297E-2</v>
      </c>
    </row>
    <row r="243" spans="1:63">
      <c r="A243">
        <v>1492</v>
      </c>
      <c r="B243" t="s">
        <v>1497</v>
      </c>
      <c r="D243" t="s">
        <v>60</v>
      </c>
      <c r="E243">
        <v>1534120</v>
      </c>
      <c r="F243">
        <v>1534236</v>
      </c>
      <c r="G243" t="s">
        <v>74</v>
      </c>
      <c r="H243">
        <v>39</v>
      </c>
      <c r="I243" t="s">
        <v>63</v>
      </c>
      <c r="J243">
        <v>5</v>
      </c>
      <c r="K243" t="str">
        <f>HYPERLINK("Gene1492-zp_tree_all.dnd", "Gene1492-tree")</f>
        <v>Gene1492-tree</v>
      </c>
      <c r="L243">
        <v>4</v>
      </c>
      <c r="M243">
        <v>1</v>
      </c>
      <c r="N243">
        <v>3</v>
      </c>
      <c r="O243">
        <v>1</v>
      </c>
      <c r="P243">
        <v>0.25</v>
      </c>
      <c r="Q243" t="s">
        <v>112</v>
      </c>
      <c r="R243" t="s">
        <v>65</v>
      </c>
      <c r="S243" t="s">
        <v>66</v>
      </c>
      <c r="T243" t="s">
        <v>66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4</v>
      </c>
      <c r="AJ243">
        <v>1</v>
      </c>
      <c r="AK243">
        <v>4</v>
      </c>
      <c r="AL243">
        <v>1</v>
      </c>
      <c r="AM243">
        <v>2</v>
      </c>
      <c r="AN243">
        <v>0</v>
      </c>
      <c r="AO243" t="s">
        <v>1499</v>
      </c>
      <c r="AP243" t="s">
        <v>68</v>
      </c>
      <c r="AQ243">
        <v>0.66700000000000004</v>
      </c>
      <c r="AR243" t="s">
        <v>69</v>
      </c>
      <c r="AS243">
        <v>6</v>
      </c>
      <c r="AT243">
        <v>1</v>
      </c>
      <c r="AU243">
        <v>2.9909999999999999E-2</v>
      </c>
      <c r="AV243">
        <v>-4.3899999999999998E-3</v>
      </c>
      <c r="AW243">
        <v>0.14398</v>
      </c>
      <c r="AX243">
        <v>-2.1329999999999998E-2</v>
      </c>
      <c r="AY243">
        <v>5.3699999999999998E-3</v>
      </c>
      <c r="AZ243">
        <v>-2E-3</v>
      </c>
      <c r="BA243">
        <v>3.7280000000000001E-2</v>
      </c>
      <c r="BB243">
        <v>1</v>
      </c>
      <c r="BC243" t="s">
        <v>70</v>
      </c>
      <c r="BD243">
        <v>0.28599999999999998</v>
      </c>
      <c r="BE243">
        <v>0.28599999999999998</v>
      </c>
      <c r="BF243" t="s">
        <v>71</v>
      </c>
      <c r="BG243">
        <v>0.23404255319148901</v>
      </c>
      <c r="BI243">
        <v>7</v>
      </c>
      <c r="BJ243">
        <v>3.7280000000000001E-2</v>
      </c>
      <c r="BK243">
        <v>0.23404255319148901</v>
      </c>
    </row>
    <row r="244" spans="1:63">
      <c r="A244">
        <v>1494</v>
      </c>
      <c r="B244" t="s">
        <v>1500</v>
      </c>
      <c r="D244" t="s">
        <v>60</v>
      </c>
      <c r="E244">
        <v>1535936</v>
      </c>
      <c r="F244">
        <v>1536199</v>
      </c>
      <c r="G244" t="s">
        <v>74</v>
      </c>
      <c r="H244">
        <v>88</v>
      </c>
      <c r="I244" t="s">
        <v>85</v>
      </c>
      <c r="J244">
        <v>4</v>
      </c>
      <c r="K244" t="str">
        <f>HYPERLINK("Gene1494-zp_tree_all.dnd", "Gene1494-tree")</f>
        <v>Gene1494-tree</v>
      </c>
      <c r="L244">
        <v>2</v>
      </c>
      <c r="M244">
        <v>2</v>
      </c>
      <c r="N244">
        <v>2</v>
      </c>
      <c r="O244">
        <v>2</v>
      </c>
      <c r="P244">
        <v>0.5</v>
      </c>
      <c r="Q244" t="s">
        <v>124</v>
      </c>
      <c r="R244" t="s">
        <v>124</v>
      </c>
      <c r="S244" t="s">
        <v>66</v>
      </c>
      <c r="T244" t="s">
        <v>66</v>
      </c>
      <c r="U244">
        <v>0</v>
      </c>
      <c r="V244">
        <v>0</v>
      </c>
      <c r="W244">
        <v>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</v>
      </c>
      <c r="AH244">
        <v>0</v>
      </c>
      <c r="AI244">
        <v>2</v>
      </c>
      <c r="AJ244">
        <v>1</v>
      </c>
      <c r="AK244">
        <v>12</v>
      </c>
      <c r="AL244">
        <v>1</v>
      </c>
      <c r="AM244">
        <v>0</v>
      </c>
      <c r="AN244">
        <v>1</v>
      </c>
      <c r="AO244" t="s">
        <v>1502</v>
      </c>
      <c r="AP244" t="s">
        <v>68</v>
      </c>
      <c r="AQ244">
        <v>0.81899999999999995</v>
      </c>
      <c r="AR244" t="s">
        <v>69</v>
      </c>
      <c r="AS244">
        <v>12</v>
      </c>
      <c r="AT244">
        <v>2</v>
      </c>
      <c r="AU244">
        <v>2.7150000000000001E-2</v>
      </c>
      <c r="AV244">
        <v>-9.0799999999999995E-3</v>
      </c>
      <c r="AW244">
        <v>0.12486999999999999</v>
      </c>
      <c r="AX244">
        <v>-4.6219999999999997E-2</v>
      </c>
      <c r="AY244">
        <v>5.6299999999999996E-3</v>
      </c>
      <c r="AZ244">
        <v>-1.3600000000000001E-3</v>
      </c>
      <c r="BA244">
        <v>4.5069999999999999E-2</v>
      </c>
      <c r="BB244">
        <v>1</v>
      </c>
      <c r="BC244" t="s">
        <v>70</v>
      </c>
      <c r="BD244">
        <v>-0.624</v>
      </c>
      <c r="BE244">
        <v>-0.624</v>
      </c>
      <c r="BF244" t="s">
        <v>71</v>
      </c>
      <c r="BG244">
        <v>0.23728813559322001</v>
      </c>
      <c r="BI244">
        <v>14</v>
      </c>
      <c r="BJ244">
        <v>4.5069999999999999E-2</v>
      </c>
      <c r="BK244">
        <v>0.23728813559322001</v>
      </c>
    </row>
    <row r="245" spans="1:63">
      <c r="A245">
        <v>1507</v>
      </c>
      <c r="B245" t="s">
        <v>1509</v>
      </c>
      <c r="D245" t="s">
        <v>60</v>
      </c>
      <c r="E245">
        <v>1546121</v>
      </c>
      <c r="F245">
        <v>1547956</v>
      </c>
      <c r="G245" t="s">
        <v>1511</v>
      </c>
      <c r="H245">
        <v>612</v>
      </c>
      <c r="I245" t="s">
        <v>63</v>
      </c>
      <c r="J245">
        <v>5</v>
      </c>
      <c r="K245" t="str">
        <f>HYPERLINK("Gene1507-zp_tree_all.dnd", "Gene1507-tree")</f>
        <v>Gene1507-tree</v>
      </c>
      <c r="L245">
        <v>3</v>
      </c>
      <c r="M245">
        <v>2</v>
      </c>
      <c r="N245">
        <v>3</v>
      </c>
      <c r="O245">
        <v>2</v>
      </c>
      <c r="P245">
        <v>0.4</v>
      </c>
      <c r="Q245" t="s">
        <v>86</v>
      </c>
      <c r="R245" t="s">
        <v>124</v>
      </c>
      <c r="S245" t="s">
        <v>66</v>
      </c>
      <c r="T245" t="s">
        <v>66</v>
      </c>
      <c r="U245">
        <v>0</v>
      </c>
      <c r="V245">
        <v>0</v>
      </c>
      <c r="W245">
        <v>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5</v>
      </c>
      <c r="AH245">
        <v>0</v>
      </c>
      <c r="AI245">
        <v>5</v>
      </c>
      <c r="AJ245">
        <v>2</v>
      </c>
      <c r="AK245">
        <v>55</v>
      </c>
      <c r="AL245">
        <v>3</v>
      </c>
      <c r="AM245">
        <v>57</v>
      </c>
      <c r="AN245">
        <v>2</v>
      </c>
      <c r="AO245" t="s">
        <v>1512</v>
      </c>
      <c r="AP245" t="s">
        <v>1513</v>
      </c>
      <c r="AQ245">
        <v>0.318</v>
      </c>
      <c r="AR245" t="s">
        <v>69</v>
      </c>
      <c r="AS245">
        <v>112</v>
      </c>
      <c r="AT245">
        <v>5</v>
      </c>
      <c r="AU245">
        <v>3.0939999999999999E-2</v>
      </c>
      <c r="AV245">
        <v>-5.1599999999999997E-3</v>
      </c>
      <c r="AW245">
        <v>0.14457999999999999</v>
      </c>
      <c r="AX245">
        <v>-2.4910000000000002E-2</v>
      </c>
      <c r="AY245">
        <v>1.6999999999999999E-3</v>
      </c>
      <c r="AZ245">
        <v>-3.6000000000000002E-4</v>
      </c>
      <c r="BA245">
        <v>1.1780000000000001E-2</v>
      </c>
      <c r="BB245">
        <v>1</v>
      </c>
      <c r="BC245" t="s">
        <v>70</v>
      </c>
      <c r="BD245">
        <v>0.502</v>
      </c>
      <c r="BE245">
        <v>0.30299999999999999</v>
      </c>
      <c r="BF245" t="s">
        <v>71</v>
      </c>
      <c r="BG245">
        <v>8.1730769230769204E-2</v>
      </c>
      <c r="BI245">
        <v>117</v>
      </c>
      <c r="BJ245">
        <v>1.1780000000000001E-2</v>
      </c>
      <c r="BK245">
        <v>8.1730769230769204E-2</v>
      </c>
    </row>
    <row r="246" spans="1:63">
      <c r="A246">
        <v>1508</v>
      </c>
      <c r="B246" t="s">
        <v>1514</v>
      </c>
      <c r="D246" t="s">
        <v>60</v>
      </c>
      <c r="E246">
        <v>1548016</v>
      </c>
      <c r="F246">
        <v>1548330</v>
      </c>
      <c r="G246" t="s">
        <v>74</v>
      </c>
      <c r="H246">
        <v>105</v>
      </c>
      <c r="I246" t="s">
        <v>63</v>
      </c>
      <c r="J246">
        <v>5</v>
      </c>
      <c r="K246" t="str">
        <f>HYPERLINK("Gene1508-zp_tree_all.dnd", "Gene1508-tree")</f>
        <v>Gene1508-tree</v>
      </c>
      <c r="L246">
        <v>3</v>
      </c>
      <c r="M246">
        <v>2</v>
      </c>
      <c r="N246">
        <v>3</v>
      </c>
      <c r="O246">
        <v>2</v>
      </c>
      <c r="P246">
        <v>0.4</v>
      </c>
      <c r="Q246" t="s">
        <v>86</v>
      </c>
      <c r="R246" t="s">
        <v>124</v>
      </c>
      <c r="S246" t="s">
        <v>66</v>
      </c>
      <c r="T246" t="s">
        <v>66</v>
      </c>
      <c r="U246">
        <v>0</v>
      </c>
      <c r="V246">
        <v>0</v>
      </c>
      <c r="W246">
        <v>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2</v>
      </c>
      <c r="AH246">
        <v>0</v>
      </c>
      <c r="AI246">
        <v>3</v>
      </c>
      <c r="AJ246">
        <v>2</v>
      </c>
      <c r="AK246">
        <v>4</v>
      </c>
      <c r="AL246">
        <v>2</v>
      </c>
      <c r="AM246">
        <v>9</v>
      </c>
      <c r="AN246">
        <v>0</v>
      </c>
      <c r="AO246" t="s">
        <v>1516</v>
      </c>
      <c r="AP246" t="s">
        <v>68</v>
      </c>
      <c r="AQ246">
        <v>2.758</v>
      </c>
      <c r="AR246" t="s">
        <v>239</v>
      </c>
      <c r="AS246">
        <v>13</v>
      </c>
      <c r="AT246">
        <v>2</v>
      </c>
      <c r="AU246">
        <v>2.349E-2</v>
      </c>
      <c r="AV246">
        <v>-3.6800000000000001E-3</v>
      </c>
      <c r="AW246">
        <v>8.6099999999999996E-2</v>
      </c>
      <c r="AX246">
        <v>-1.444E-2</v>
      </c>
      <c r="AY246">
        <v>3.4499999999999999E-3</v>
      </c>
      <c r="AZ246">
        <v>-8.1999999999999998E-4</v>
      </c>
      <c r="BA246">
        <v>4.0090000000000001E-2</v>
      </c>
      <c r="BB246">
        <v>1</v>
      </c>
      <c r="BC246" t="s">
        <v>70</v>
      </c>
      <c r="BD246">
        <v>0.73799999999999999</v>
      </c>
      <c r="BE246">
        <v>0.30399999999999999</v>
      </c>
      <c r="BF246" t="s">
        <v>71</v>
      </c>
      <c r="BG246">
        <v>0.15277777777777701</v>
      </c>
      <c r="BI246">
        <v>15</v>
      </c>
      <c r="BJ246">
        <v>4.0090000000000001E-2</v>
      </c>
      <c r="BK246">
        <v>0.15277777777777701</v>
      </c>
    </row>
    <row r="247" spans="1:63">
      <c r="A247">
        <v>1514</v>
      </c>
      <c r="B247" t="s">
        <v>1519</v>
      </c>
      <c r="D247" t="s">
        <v>60</v>
      </c>
      <c r="E247">
        <v>1552412</v>
      </c>
      <c r="F247">
        <v>1552690</v>
      </c>
      <c r="G247" t="s">
        <v>74</v>
      </c>
      <c r="H247">
        <v>93</v>
      </c>
      <c r="I247" t="s">
        <v>63</v>
      </c>
      <c r="J247">
        <v>5</v>
      </c>
      <c r="K247" t="str">
        <f>HYPERLINK("Gene1514-zp_tree_all.dnd", "Gene1514-tree")</f>
        <v>Gene1514-tree</v>
      </c>
      <c r="L247">
        <v>3</v>
      </c>
      <c r="M247">
        <v>2</v>
      </c>
      <c r="N247">
        <v>3</v>
      </c>
      <c r="O247">
        <v>1</v>
      </c>
      <c r="P247">
        <v>0.25</v>
      </c>
      <c r="Q247" t="s">
        <v>86</v>
      </c>
      <c r="R247" t="s">
        <v>65</v>
      </c>
      <c r="S247" t="s">
        <v>66</v>
      </c>
      <c r="T247" t="s">
        <v>66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3</v>
      </c>
      <c r="AJ247">
        <v>0</v>
      </c>
      <c r="AK247">
        <v>4</v>
      </c>
      <c r="AL247">
        <v>1</v>
      </c>
      <c r="AM247">
        <v>0</v>
      </c>
      <c r="AN247">
        <v>0</v>
      </c>
      <c r="AO247" t="s">
        <v>1521</v>
      </c>
      <c r="AP247" t="s">
        <v>68</v>
      </c>
      <c r="AQ247">
        <v>0.81299999999999994</v>
      </c>
      <c r="AR247" t="s">
        <v>69</v>
      </c>
      <c r="AS247">
        <v>4</v>
      </c>
      <c r="AT247">
        <v>1</v>
      </c>
      <c r="AU247">
        <v>8.3599999999999994E-3</v>
      </c>
      <c r="AV247">
        <v>-1.3799999999999999E-3</v>
      </c>
      <c r="AW247">
        <v>3.1179999999999999E-2</v>
      </c>
      <c r="AX247">
        <v>-6.3499999999999997E-3</v>
      </c>
      <c r="AY247">
        <v>2.2899999999999999E-3</v>
      </c>
      <c r="AZ247">
        <v>-9.3999999999999997E-4</v>
      </c>
      <c r="BA247">
        <v>7.356E-2</v>
      </c>
      <c r="BB247">
        <v>0.98299999999999998</v>
      </c>
      <c r="BC247" t="s">
        <v>70</v>
      </c>
      <c r="BD247">
        <v>0.95699999999999996</v>
      </c>
      <c r="BE247">
        <v>-0.41</v>
      </c>
      <c r="BF247" t="s">
        <v>71</v>
      </c>
      <c r="BG247">
        <v>0.17241379310344801</v>
      </c>
      <c r="BI247">
        <v>5</v>
      </c>
      <c r="BJ247">
        <v>7.356E-2</v>
      </c>
      <c r="BK247">
        <v>0.17241379310344801</v>
      </c>
    </row>
    <row r="248" spans="1:63">
      <c r="A248">
        <v>1518</v>
      </c>
      <c r="B248" t="s">
        <v>1522</v>
      </c>
      <c r="D248" t="s">
        <v>60</v>
      </c>
      <c r="E248">
        <v>1559309</v>
      </c>
      <c r="F248">
        <v>1560223</v>
      </c>
      <c r="G248" t="s">
        <v>1524</v>
      </c>
      <c r="H248">
        <v>305</v>
      </c>
      <c r="I248" t="s">
        <v>63</v>
      </c>
      <c r="J248">
        <v>5</v>
      </c>
      <c r="K248" t="str">
        <f>HYPERLINK("Gene1518-zp_tree_all.dnd", "Gene1518-tree")</f>
        <v>Gene1518-tree</v>
      </c>
      <c r="L248">
        <v>5</v>
      </c>
      <c r="M248">
        <v>0</v>
      </c>
      <c r="N248">
        <v>5</v>
      </c>
      <c r="O248">
        <v>0</v>
      </c>
      <c r="P248">
        <v>0</v>
      </c>
      <c r="Q248" t="s">
        <v>96</v>
      </c>
      <c r="R248" t="s">
        <v>66</v>
      </c>
      <c r="S248" t="s">
        <v>66</v>
      </c>
      <c r="T248" t="s">
        <v>66</v>
      </c>
      <c r="U248">
        <v>0</v>
      </c>
      <c r="V248">
        <v>0</v>
      </c>
      <c r="W248">
        <v>2</v>
      </c>
      <c r="X248">
        <v>0</v>
      </c>
      <c r="Y248">
        <v>0</v>
      </c>
      <c r="Z248">
        <v>0</v>
      </c>
      <c r="AA248">
        <v>0</v>
      </c>
      <c r="AB248">
        <v>2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5</v>
      </c>
      <c r="AJ248">
        <v>2</v>
      </c>
      <c r="AK248">
        <v>27</v>
      </c>
      <c r="AL248">
        <v>0</v>
      </c>
      <c r="AM248">
        <v>15</v>
      </c>
      <c r="AN248">
        <v>2</v>
      </c>
      <c r="AO248" t="s">
        <v>68</v>
      </c>
      <c r="AP248" t="s">
        <v>1525</v>
      </c>
      <c r="AQ248">
        <v>1.032</v>
      </c>
      <c r="AR248" t="s">
        <v>69</v>
      </c>
      <c r="AS248">
        <v>42</v>
      </c>
      <c r="AT248">
        <v>2</v>
      </c>
      <c r="AU248">
        <v>2.23E-2</v>
      </c>
      <c r="AV248">
        <v>-3.7299999999999998E-3</v>
      </c>
      <c r="AW248">
        <v>9.5130000000000006E-2</v>
      </c>
      <c r="AX248">
        <v>-1.6129999999999999E-2</v>
      </c>
      <c r="AY248">
        <v>1.73E-3</v>
      </c>
      <c r="AZ248">
        <v>-4.0999999999999999E-4</v>
      </c>
      <c r="BA248">
        <v>1.8149999999999999E-2</v>
      </c>
      <c r="BB248">
        <v>1</v>
      </c>
      <c r="BC248" t="s">
        <v>70</v>
      </c>
      <c r="BD248">
        <v>0.09</v>
      </c>
      <c r="BE248">
        <v>-0.06</v>
      </c>
      <c r="BF248" t="s">
        <v>71</v>
      </c>
      <c r="BG248">
        <v>0.10275689223057601</v>
      </c>
      <c r="BI248">
        <v>44</v>
      </c>
      <c r="BJ248">
        <v>1.8149999999999999E-2</v>
      </c>
      <c r="BK248">
        <v>0.10275689223057601</v>
      </c>
    </row>
    <row r="249" spans="1:63">
      <c r="A249">
        <v>1519</v>
      </c>
      <c r="B249" t="s">
        <v>1526</v>
      </c>
      <c r="D249" t="s">
        <v>60</v>
      </c>
      <c r="E249">
        <v>1560466</v>
      </c>
      <c r="F249">
        <v>1561533</v>
      </c>
      <c r="G249" t="s">
        <v>1528</v>
      </c>
      <c r="H249">
        <v>356</v>
      </c>
      <c r="I249" t="s">
        <v>85</v>
      </c>
      <c r="J249">
        <v>4</v>
      </c>
      <c r="K249" t="str">
        <f>HYPERLINK("Gene1519-zp_tree_all.dnd", "Gene1519-tree")</f>
        <v>Gene1519-tree</v>
      </c>
      <c r="L249">
        <v>2</v>
      </c>
      <c r="M249">
        <v>2</v>
      </c>
      <c r="N249">
        <v>2</v>
      </c>
      <c r="O249">
        <v>2</v>
      </c>
      <c r="P249">
        <v>0.5</v>
      </c>
      <c r="Q249" t="s">
        <v>124</v>
      </c>
      <c r="R249" t="s">
        <v>124</v>
      </c>
      <c r="S249" t="s">
        <v>66</v>
      </c>
      <c r="T249" t="s">
        <v>66</v>
      </c>
      <c r="U249">
        <v>0</v>
      </c>
      <c r="V249">
        <v>0</v>
      </c>
      <c r="W249">
        <v>8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7</v>
      </c>
      <c r="AH249">
        <v>0</v>
      </c>
      <c r="AI249">
        <v>4</v>
      </c>
      <c r="AJ249">
        <v>1</v>
      </c>
      <c r="AK249">
        <v>51</v>
      </c>
      <c r="AL249">
        <v>7</v>
      </c>
      <c r="AM249">
        <v>1</v>
      </c>
      <c r="AN249">
        <v>1</v>
      </c>
      <c r="AO249" t="s">
        <v>1529</v>
      </c>
      <c r="AP249" t="s">
        <v>1530</v>
      </c>
      <c r="AQ249">
        <v>3.5390000000000001</v>
      </c>
      <c r="AR249" t="s">
        <v>69</v>
      </c>
      <c r="AS249">
        <v>52</v>
      </c>
      <c r="AT249">
        <v>8</v>
      </c>
      <c r="AU249">
        <v>2.8400000000000002E-2</v>
      </c>
      <c r="AV249">
        <v>-8.8699999999999994E-3</v>
      </c>
      <c r="AW249">
        <v>0.12447</v>
      </c>
      <c r="AX249">
        <v>-4.0829999999999998E-2</v>
      </c>
      <c r="AY249">
        <v>5.0600000000000003E-3</v>
      </c>
      <c r="AZ249">
        <v>-1.4499999999999999E-3</v>
      </c>
      <c r="BA249">
        <v>4.0629999999999999E-2</v>
      </c>
      <c r="BB249">
        <v>1</v>
      </c>
      <c r="BC249" t="s">
        <v>70</v>
      </c>
      <c r="BD249">
        <v>-0.76300000000000001</v>
      </c>
      <c r="BE249">
        <v>-0.76300000000000001</v>
      </c>
      <c r="BF249" t="s">
        <v>71</v>
      </c>
      <c r="BG249">
        <v>0.183585313174946</v>
      </c>
      <c r="BI249">
        <v>60</v>
      </c>
      <c r="BJ249">
        <v>4.0629999999999999E-2</v>
      </c>
      <c r="BK249">
        <v>0.183585313174946</v>
      </c>
    </row>
    <row r="250" spans="1:63">
      <c r="A250">
        <v>1525</v>
      </c>
      <c r="B250" t="s">
        <v>1531</v>
      </c>
      <c r="D250" t="s">
        <v>60</v>
      </c>
      <c r="E250">
        <v>1565849</v>
      </c>
      <c r="F250">
        <v>1566292</v>
      </c>
      <c r="G250" t="s">
        <v>74</v>
      </c>
      <c r="H250">
        <v>148</v>
      </c>
      <c r="I250" t="s">
        <v>85</v>
      </c>
      <c r="J250">
        <v>4</v>
      </c>
      <c r="K250" t="str">
        <f>HYPERLINK("Gene1525-zp_tree_all.dnd", "Gene1525-tree")</f>
        <v>Gene1525-tree</v>
      </c>
      <c r="L250">
        <v>2</v>
      </c>
      <c r="M250">
        <v>2</v>
      </c>
      <c r="N250">
        <v>2</v>
      </c>
      <c r="O250">
        <v>2</v>
      </c>
      <c r="P250">
        <v>0.5</v>
      </c>
      <c r="Q250" t="s">
        <v>124</v>
      </c>
      <c r="R250" t="s">
        <v>124</v>
      </c>
      <c r="S250" t="s">
        <v>66</v>
      </c>
      <c r="T250" t="s">
        <v>66</v>
      </c>
      <c r="U250">
        <v>0</v>
      </c>
      <c r="V250">
        <v>0</v>
      </c>
      <c r="W250">
        <v>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2</v>
      </c>
      <c r="AH250">
        <v>0</v>
      </c>
      <c r="AI250">
        <v>4</v>
      </c>
      <c r="AJ250">
        <v>1</v>
      </c>
      <c r="AK250">
        <v>23</v>
      </c>
      <c r="AL250">
        <v>2</v>
      </c>
      <c r="AM250">
        <v>1</v>
      </c>
      <c r="AN250">
        <v>0</v>
      </c>
      <c r="AO250" t="s">
        <v>1533</v>
      </c>
      <c r="AP250" t="s">
        <v>68</v>
      </c>
      <c r="AQ250">
        <v>0.76</v>
      </c>
      <c r="AR250" t="s">
        <v>69</v>
      </c>
      <c r="AS250">
        <v>24</v>
      </c>
      <c r="AT250">
        <v>2</v>
      </c>
      <c r="AU250">
        <v>2.8899999999999999E-2</v>
      </c>
      <c r="AV250">
        <v>-8.1499999999999993E-3</v>
      </c>
      <c r="AW250">
        <v>0.13488</v>
      </c>
      <c r="AX250">
        <v>-4.1270000000000001E-2</v>
      </c>
      <c r="AY250">
        <v>2.9199999999999999E-3</v>
      </c>
      <c r="AZ250">
        <v>-6.8999999999999997E-4</v>
      </c>
      <c r="BA250">
        <v>2.164E-2</v>
      </c>
      <c r="BB250">
        <v>1</v>
      </c>
      <c r="BC250" t="s">
        <v>70</v>
      </c>
      <c r="BD250">
        <v>-0.60699999999999998</v>
      </c>
      <c r="BE250">
        <v>-0.60699999999999998</v>
      </c>
      <c r="BF250" t="s">
        <v>71</v>
      </c>
      <c r="BG250">
        <v>0.15183246073298401</v>
      </c>
      <c r="BI250">
        <v>26</v>
      </c>
      <c r="BJ250">
        <v>2.164E-2</v>
      </c>
      <c r="BK250">
        <v>0.15183246073298401</v>
      </c>
    </row>
    <row r="251" spans="1:63">
      <c r="A251">
        <v>1527</v>
      </c>
      <c r="B251" t="s">
        <v>1534</v>
      </c>
      <c r="D251" t="s">
        <v>60</v>
      </c>
      <c r="E251">
        <v>1567651</v>
      </c>
      <c r="F251">
        <v>1568046</v>
      </c>
      <c r="G251" t="s">
        <v>74</v>
      </c>
      <c r="H251">
        <v>132</v>
      </c>
      <c r="I251" t="s">
        <v>63</v>
      </c>
      <c r="J251">
        <v>5</v>
      </c>
      <c r="K251" t="str">
        <f>HYPERLINK("Gene1527-zp_tree_all.dnd", "Gene1527-tree")</f>
        <v>Gene1527-tree</v>
      </c>
      <c r="L251">
        <v>1</v>
      </c>
      <c r="M251">
        <v>4</v>
      </c>
      <c r="N251">
        <v>1</v>
      </c>
      <c r="O251">
        <v>4</v>
      </c>
      <c r="P251">
        <v>0.8</v>
      </c>
      <c r="Q251" t="s">
        <v>65</v>
      </c>
      <c r="R251" t="s">
        <v>64</v>
      </c>
      <c r="S251" t="s">
        <v>66</v>
      </c>
      <c r="T251" t="s">
        <v>66</v>
      </c>
      <c r="U251">
        <v>1</v>
      </c>
      <c r="V251">
        <v>2</v>
      </c>
      <c r="W251">
        <v>5</v>
      </c>
      <c r="X251">
        <v>0.28571000000000002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2</v>
      </c>
      <c r="AE251">
        <v>0</v>
      </c>
      <c r="AF251">
        <v>2</v>
      </c>
      <c r="AG251">
        <v>5</v>
      </c>
      <c r="AH251">
        <v>0.28571000000000002</v>
      </c>
      <c r="AI251">
        <v>5</v>
      </c>
      <c r="AJ251">
        <v>2</v>
      </c>
      <c r="AK251">
        <v>6</v>
      </c>
      <c r="AL251">
        <v>5</v>
      </c>
      <c r="AM251">
        <v>8</v>
      </c>
      <c r="AN251">
        <v>3</v>
      </c>
      <c r="AO251" t="s">
        <v>1536</v>
      </c>
      <c r="AP251" t="s">
        <v>1537</v>
      </c>
      <c r="AQ251">
        <v>0.94599999999999995</v>
      </c>
      <c r="AR251" t="s">
        <v>69</v>
      </c>
      <c r="AS251">
        <v>14</v>
      </c>
      <c r="AT251">
        <v>8</v>
      </c>
      <c r="AU251">
        <v>2.6259999999999999E-2</v>
      </c>
      <c r="AV251">
        <v>-4.4200000000000003E-3</v>
      </c>
      <c r="AW251">
        <v>9.5449999999999993E-2</v>
      </c>
      <c r="AX251">
        <v>-1.6549999999999999E-2</v>
      </c>
      <c r="AY251">
        <v>1.141E-2</v>
      </c>
      <c r="AZ251">
        <v>-2.1199999999999999E-3</v>
      </c>
      <c r="BA251">
        <v>0.11953999999999999</v>
      </c>
      <c r="BB251">
        <v>1</v>
      </c>
      <c r="BC251" t="s">
        <v>70</v>
      </c>
      <c r="BD251">
        <v>1.036</v>
      </c>
      <c r="BE251">
        <v>0.22700000000000001</v>
      </c>
      <c r="BF251" t="s">
        <v>71</v>
      </c>
      <c r="BG251">
        <v>4.0935672514619798E-2</v>
      </c>
      <c r="BI251">
        <v>22</v>
      </c>
      <c r="BJ251">
        <v>0.11953999999999999</v>
      </c>
      <c r="BK251">
        <v>4.0935672514619798E-2</v>
      </c>
    </row>
    <row r="252" spans="1:63">
      <c r="A252">
        <v>1528</v>
      </c>
      <c r="B252" t="s">
        <v>1538</v>
      </c>
      <c r="D252" t="s">
        <v>60</v>
      </c>
      <c r="E252">
        <v>1568065</v>
      </c>
      <c r="F252">
        <v>1568301</v>
      </c>
      <c r="G252" t="s">
        <v>74</v>
      </c>
      <c r="H252">
        <v>79</v>
      </c>
      <c r="I252" t="s">
        <v>63</v>
      </c>
      <c r="J252">
        <v>5</v>
      </c>
      <c r="K252" t="str">
        <f>HYPERLINK("Gene1528-zp_tree_all.dnd", "Gene1528-tree")</f>
        <v>Gene1528-tree</v>
      </c>
      <c r="L252">
        <v>0</v>
      </c>
      <c r="M252">
        <v>5</v>
      </c>
      <c r="N252">
        <v>0</v>
      </c>
      <c r="O252">
        <v>4</v>
      </c>
      <c r="P252">
        <v>1</v>
      </c>
      <c r="Q252" t="s">
        <v>66</v>
      </c>
      <c r="R252" t="s">
        <v>135</v>
      </c>
      <c r="S252">
        <v>3.1949999999999998</v>
      </c>
      <c r="T252" t="s">
        <v>69</v>
      </c>
      <c r="U252">
        <v>0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4</v>
      </c>
      <c r="AH252">
        <v>0</v>
      </c>
      <c r="AI252">
        <v>2</v>
      </c>
      <c r="AJ252">
        <v>1</v>
      </c>
      <c r="AK252">
        <v>1</v>
      </c>
      <c r="AL252">
        <v>3</v>
      </c>
      <c r="AM252">
        <v>8</v>
      </c>
      <c r="AN252">
        <v>1</v>
      </c>
      <c r="AO252" t="s">
        <v>1540</v>
      </c>
      <c r="AP252" t="s">
        <v>1541</v>
      </c>
      <c r="AQ252">
        <v>1.2250000000000001</v>
      </c>
      <c r="AR252" t="s">
        <v>69</v>
      </c>
      <c r="AS252">
        <v>9</v>
      </c>
      <c r="AT252">
        <v>4</v>
      </c>
      <c r="AU252">
        <v>3.3759999999999998E-2</v>
      </c>
      <c r="AV252">
        <v>-7.7000000000000002E-3</v>
      </c>
      <c r="AW252">
        <v>0.15287000000000001</v>
      </c>
      <c r="AX252">
        <v>-4.1209999999999997E-2</v>
      </c>
      <c r="AY252">
        <v>1.133E-2</v>
      </c>
      <c r="AZ252">
        <v>-2.3E-3</v>
      </c>
      <c r="BA252">
        <v>7.4130000000000001E-2</v>
      </c>
      <c r="BB252">
        <v>0.99</v>
      </c>
      <c r="BC252" t="s">
        <v>70</v>
      </c>
      <c r="BD252">
        <v>0.88500000000000001</v>
      </c>
      <c r="BE252">
        <v>0.88500000000000001</v>
      </c>
      <c r="BF252" t="s">
        <v>71</v>
      </c>
      <c r="BG252">
        <v>0.122448979591836</v>
      </c>
      <c r="BI252">
        <v>13</v>
      </c>
      <c r="BJ252">
        <v>7.4130000000000001E-2</v>
      </c>
      <c r="BK252">
        <v>0.122448979591836</v>
      </c>
    </row>
    <row r="253" spans="1:63">
      <c r="A253">
        <v>1529</v>
      </c>
      <c r="B253" t="s">
        <v>1542</v>
      </c>
      <c r="D253" t="s">
        <v>60</v>
      </c>
      <c r="E253">
        <v>1568420</v>
      </c>
      <c r="F253">
        <v>1568866</v>
      </c>
      <c r="G253" t="s">
        <v>1544</v>
      </c>
      <c r="H253">
        <v>149</v>
      </c>
      <c r="I253" t="s">
        <v>63</v>
      </c>
      <c r="J253">
        <v>5</v>
      </c>
      <c r="K253" t="str">
        <f>HYPERLINK("Gene1529-zp_tree_all.dnd", "Gene1529-tree")</f>
        <v>Gene1529-tree</v>
      </c>
      <c r="L253">
        <v>5</v>
      </c>
      <c r="M253">
        <v>0</v>
      </c>
      <c r="N253">
        <v>5</v>
      </c>
      <c r="O253">
        <v>0</v>
      </c>
      <c r="P253">
        <v>0</v>
      </c>
      <c r="Q253" t="s">
        <v>96</v>
      </c>
      <c r="R253" t="s">
        <v>66</v>
      </c>
      <c r="S253" t="s">
        <v>66</v>
      </c>
      <c r="T253" t="s">
        <v>66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3</v>
      </c>
      <c r="AJ253">
        <v>2</v>
      </c>
      <c r="AK253">
        <v>6</v>
      </c>
      <c r="AL253">
        <v>0</v>
      </c>
      <c r="AM253">
        <v>9</v>
      </c>
      <c r="AN253">
        <v>0</v>
      </c>
      <c r="AO253" t="s">
        <v>68</v>
      </c>
      <c r="AP253" t="s">
        <v>68</v>
      </c>
      <c r="AQ253">
        <v>0</v>
      </c>
      <c r="AR253" t="s">
        <v>69</v>
      </c>
      <c r="AS253">
        <v>15</v>
      </c>
      <c r="AT253">
        <v>0</v>
      </c>
      <c r="AU253">
        <v>1.745E-2</v>
      </c>
      <c r="AV253">
        <v>-3.1800000000000001E-3</v>
      </c>
      <c r="AW253">
        <v>8.4330000000000002E-2</v>
      </c>
      <c r="AX253">
        <v>-1.584E-2</v>
      </c>
      <c r="AY253">
        <v>0</v>
      </c>
      <c r="AZ253">
        <v>0</v>
      </c>
      <c r="BA253">
        <v>0</v>
      </c>
      <c r="BB253">
        <v>1</v>
      </c>
      <c r="BC253" t="s">
        <v>70</v>
      </c>
      <c r="BD253">
        <v>0.60899999999999999</v>
      </c>
      <c r="BE253">
        <v>0.60899999999999999</v>
      </c>
      <c r="BF253" t="s">
        <v>71</v>
      </c>
      <c r="BG253">
        <v>0.225806451612903</v>
      </c>
      <c r="BI253">
        <v>15</v>
      </c>
      <c r="BJ253">
        <v>0</v>
      </c>
      <c r="BK253">
        <v>0.225806451612903</v>
      </c>
    </row>
    <row r="254" spans="1:63">
      <c r="A254">
        <v>1530</v>
      </c>
      <c r="B254" t="s">
        <v>1545</v>
      </c>
      <c r="D254" t="s">
        <v>60</v>
      </c>
      <c r="E254">
        <v>1568924</v>
      </c>
      <c r="F254">
        <v>1569193</v>
      </c>
      <c r="G254" t="s">
        <v>74</v>
      </c>
      <c r="H254">
        <v>90</v>
      </c>
      <c r="I254" t="s">
        <v>63</v>
      </c>
      <c r="J254">
        <v>5</v>
      </c>
      <c r="K254" t="str">
        <f>HYPERLINK("Gene1530-zp_tree_all.dnd", "Gene1530-tree")</f>
        <v>Gene1530-tree</v>
      </c>
      <c r="L254">
        <v>2</v>
      </c>
      <c r="M254">
        <v>3</v>
      </c>
      <c r="N254">
        <v>2</v>
      </c>
      <c r="O254">
        <v>2</v>
      </c>
      <c r="P254">
        <v>0.5</v>
      </c>
      <c r="Q254" t="s">
        <v>124</v>
      </c>
      <c r="R254" t="s">
        <v>185</v>
      </c>
      <c r="S254">
        <v>0.30599999999999999</v>
      </c>
      <c r="T254" t="s">
        <v>69</v>
      </c>
      <c r="U254">
        <v>0</v>
      </c>
      <c r="V254">
        <v>0</v>
      </c>
      <c r="W254">
        <v>2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2</v>
      </c>
      <c r="AH254">
        <v>0</v>
      </c>
      <c r="AI254">
        <v>3</v>
      </c>
      <c r="AJ254">
        <v>1</v>
      </c>
      <c r="AK254">
        <v>11</v>
      </c>
      <c r="AL254">
        <v>2</v>
      </c>
      <c r="AM254">
        <v>1</v>
      </c>
      <c r="AN254">
        <v>0</v>
      </c>
      <c r="AO254" t="s">
        <v>1547</v>
      </c>
      <c r="AP254" t="s">
        <v>68</v>
      </c>
      <c r="AQ254">
        <v>1.0669999999999999</v>
      </c>
      <c r="AR254" t="s">
        <v>69</v>
      </c>
      <c r="AS254">
        <v>12</v>
      </c>
      <c r="AT254">
        <v>2</v>
      </c>
      <c r="AU254">
        <v>2.6540000000000001E-2</v>
      </c>
      <c r="AV254">
        <v>-6.9499999999999996E-3</v>
      </c>
      <c r="AW254">
        <v>0.11966</v>
      </c>
      <c r="AX254">
        <v>-3.4759999999999999E-2</v>
      </c>
      <c r="AY254">
        <v>4.7400000000000003E-3</v>
      </c>
      <c r="AZ254">
        <v>-1.1199999999999999E-3</v>
      </c>
      <c r="BA254">
        <v>3.9570000000000001E-2</v>
      </c>
      <c r="BB254">
        <v>1</v>
      </c>
      <c r="BC254" t="s">
        <v>70</v>
      </c>
      <c r="BD254">
        <v>1.171</v>
      </c>
      <c r="BE254">
        <v>1.171</v>
      </c>
      <c r="BF254" t="s">
        <v>71</v>
      </c>
      <c r="BG254">
        <v>0.20388349514563101</v>
      </c>
      <c r="BI254">
        <v>14</v>
      </c>
      <c r="BJ254">
        <v>3.9570000000000001E-2</v>
      </c>
      <c r="BK254">
        <v>0.20388349514563101</v>
      </c>
    </row>
    <row r="255" spans="1:63">
      <c r="A255">
        <v>1531</v>
      </c>
      <c r="B255" t="s">
        <v>1548</v>
      </c>
      <c r="D255" t="s">
        <v>60</v>
      </c>
      <c r="E255">
        <v>1569519</v>
      </c>
      <c r="F255">
        <v>1570070</v>
      </c>
      <c r="G255" t="s">
        <v>1550</v>
      </c>
      <c r="H255">
        <v>184</v>
      </c>
      <c r="I255" t="s">
        <v>63</v>
      </c>
      <c r="J255">
        <v>5</v>
      </c>
      <c r="K255" t="str">
        <f>HYPERLINK("Gene1531-zp_tree_all.dnd", "Gene1531-tree")</f>
        <v>Gene1531-tree</v>
      </c>
      <c r="L255">
        <v>0</v>
      </c>
      <c r="M255">
        <v>5</v>
      </c>
      <c r="N255">
        <v>0</v>
      </c>
      <c r="O255">
        <v>5</v>
      </c>
      <c r="P255">
        <v>1</v>
      </c>
      <c r="Q255" t="s">
        <v>66</v>
      </c>
      <c r="R255" t="s">
        <v>96</v>
      </c>
      <c r="S255" t="s">
        <v>66</v>
      </c>
      <c r="T255" t="s">
        <v>66</v>
      </c>
      <c r="U255">
        <v>2</v>
      </c>
      <c r="V255">
        <v>4</v>
      </c>
      <c r="W255">
        <v>8</v>
      </c>
      <c r="X255">
        <v>0.33333000000000002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2</v>
      </c>
      <c r="AE255">
        <v>2</v>
      </c>
      <c r="AF255">
        <v>4</v>
      </c>
      <c r="AG255">
        <v>8</v>
      </c>
      <c r="AH255">
        <v>0.33333000000000002</v>
      </c>
      <c r="AI255">
        <v>5</v>
      </c>
      <c r="AJ255">
        <v>2</v>
      </c>
      <c r="AK255">
        <v>16</v>
      </c>
      <c r="AL255">
        <v>12</v>
      </c>
      <c r="AM255">
        <v>17</v>
      </c>
      <c r="AN255">
        <v>1</v>
      </c>
      <c r="AO255" t="s">
        <v>1551</v>
      </c>
      <c r="AP255" t="s">
        <v>1552</v>
      </c>
      <c r="AQ255">
        <v>3.0710000000000002</v>
      </c>
      <c r="AR255" t="s">
        <v>239</v>
      </c>
      <c r="AS255">
        <v>33</v>
      </c>
      <c r="AT255">
        <v>13</v>
      </c>
      <c r="AU255">
        <v>3.7859999999999998E-2</v>
      </c>
      <c r="AV255">
        <v>-5.1999999999999998E-3</v>
      </c>
      <c r="AW255">
        <v>0.13489000000000001</v>
      </c>
      <c r="AX255">
        <v>-2.3740000000000001E-2</v>
      </c>
      <c r="AY255">
        <v>1.244E-2</v>
      </c>
      <c r="AZ255">
        <v>-8.1999999999999998E-4</v>
      </c>
      <c r="BA255">
        <v>9.2259999999999995E-2</v>
      </c>
      <c r="BB255">
        <v>1</v>
      </c>
      <c r="BC255" t="s">
        <v>70</v>
      </c>
      <c r="BD255">
        <v>0.46600000000000003</v>
      </c>
      <c r="BE255">
        <v>-0.107</v>
      </c>
      <c r="BF255" t="s">
        <v>71</v>
      </c>
      <c r="BG255">
        <v>0.16129032258064499</v>
      </c>
      <c r="BI255">
        <v>46</v>
      </c>
      <c r="BJ255">
        <v>9.2259999999999995E-2</v>
      </c>
      <c r="BK255">
        <v>0.16129032258064499</v>
      </c>
    </row>
    <row r="256" spans="1:63">
      <c r="A256">
        <v>1532</v>
      </c>
      <c r="B256" t="s">
        <v>1553</v>
      </c>
      <c r="D256" t="s">
        <v>60</v>
      </c>
      <c r="E256">
        <v>1570078</v>
      </c>
      <c r="F256">
        <v>1570560</v>
      </c>
      <c r="G256" t="s">
        <v>1555</v>
      </c>
      <c r="H256">
        <v>161</v>
      </c>
      <c r="I256" t="s">
        <v>106</v>
      </c>
      <c r="J256">
        <v>4</v>
      </c>
      <c r="K256" t="str">
        <f>HYPERLINK("Gene1532-zp_tree_all.dnd", "Gene1532-tree")</f>
        <v>Gene1532-tree</v>
      </c>
      <c r="L256">
        <v>3</v>
      </c>
      <c r="M256">
        <v>1</v>
      </c>
      <c r="N256">
        <v>3</v>
      </c>
      <c r="O256">
        <v>1</v>
      </c>
      <c r="P256">
        <v>0.25</v>
      </c>
      <c r="Q256" t="s">
        <v>86</v>
      </c>
      <c r="R256" t="s">
        <v>65</v>
      </c>
      <c r="S256" t="s">
        <v>66</v>
      </c>
      <c r="T256" t="s">
        <v>66</v>
      </c>
      <c r="U256">
        <v>0</v>
      </c>
      <c r="V256">
        <v>0</v>
      </c>
      <c r="W256">
        <v>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2</v>
      </c>
      <c r="AH256">
        <v>0</v>
      </c>
      <c r="AI256">
        <v>4</v>
      </c>
      <c r="AJ256">
        <v>1</v>
      </c>
      <c r="AK256">
        <v>23</v>
      </c>
      <c r="AL256">
        <v>2</v>
      </c>
      <c r="AM256">
        <v>2</v>
      </c>
      <c r="AN256">
        <v>0</v>
      </c>
      <c r="AO256" t="s">
        <v>1556</v>
      </c>
      <c r="AP256" t="s">
        <v>68</v>
      </c>
      <c r="AQ256">
        <v>0.505</v>
      </c>
      <c r="AR256" t="s">
        <v>69</v>
      </c>
      <c r="AS256">
        <v>25</v>
      </c>
      <c r="AT256">
        <v>2</v>
      </c>
      <c r="AU256">
        <v>2.8299999999999999E-2</v>
      </c>
      <c r="AV256">
        <v>-5.9899999999999997E-3</v>
      </c>
      <c r="AW256">
        <v>0.1265</v>
      </c>
      <c r="AX256">
        <v>-2.6550000000000001E-2</v>
      </c>
      <c r="AY256">
        <v>2.7000000000000001E-3</v>
      </c>
      <c r="AZ256">
        <v>-1.1000000000000001E-3</v>
      </c>
      <c r="BA256">
        <v>2.1329999999999998E-2</v>
      </c>
      <c r="BB256">
        <v>1</v>
      </c>
      <c r="BC256" t="s">
        <v>70</v>
      </c>
      <c r="BD256">
        <v>-0.375</v>
      </c>
      <c r="BE256">
        <v>-0.73799999999999999</v>
      </c>
      <c r="BF256" t="s">
        <v>71</v>
      </c>
      <c r="BG256">
        <v>0.19607843137254899</v>
      </c>
      <c r="BI256">
        <v>27</v>
      </c>
      <c r="BJ256">
        <v>2.1329999999999998E-2</v>
      </c>
      <c r="BK256">
        <v>0.19607843137254899</v>
      </c>
    </row>
    <row r="257" spans="1:63">
      <c r="A257">
        <v>1535</v>
      </c>
      <c r="B257" t="s">
        <v>1557</v>
      </c>
      <c r="D257" t="s">
        <v>60</v>
      </c>
      <c r="E257">
        <v>1572765</v>
      </c>
      <c r="F257">
        <v>1573787</v>
      </c>
      <c r="G257" t="s">
        <v>74</v>
      </c>
      <c r="H257">
        <v>341</v>
      </c>
      <c r="I257" t="s">
        <v>63</v>
      </c>
      <c r="J257">
        <v>5</v>
      </c>
      <c r="K257" t="str">
        <f>HYPERLINK("Gene1535-zp_tree_all.dnd", "Gene1535-tree")</f>
        <v>Gene1535-tree</v>
      </c>
      <c r="L257">
        <v>1</v>
      </c>
      <c r="M257">
        <v>4</v>
      </c>
      <c r="N257">
        <v>1</v>
      </c>
      <c r="O257">
        <v>4</v>
      </c>
      <c r="P257">
        <v>0.8</v>
      </c>
      <c r="Q257" t="s">
        <v>65</v>
      </c>
      <c r="R257" t="s">
        <v>64</v>
      </c>
      <c r="S257" t="s">
        <v>66</v>
      </c>
      <c r="T257" t="s">
        <v>66</v>
      </c>
      <c r="U257">
        <v>1</v>
      </c>
      <c r="V257">
        <v>3</v>
      </c>
      <c r="W257">
        <v>8</v>
      </c>
      <c r="X257">
        <v>0.27272999999999997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3</v>
      </c>
      <c r="AE257">
        <v>0</v>
      </c>
      <c r="AF257">
        <v>3</v>
      </c>
      <c r="AG257">
        <v>8</v>
      </c>
      <c r="AH257">
        <v>0.27272999999999997</v>
      </c>
      <c r="AI257">
        <v>5</v>
      </c>
      <c r="AJ257">
        <v>2</v>
      </c>
      <c r="AK257">
        <v>28</v>
      </c>
      <c r="AL257">
        <v>6</v>
      </c>
      <c r="AM257">
        <v>28</v>
      </c>
      <c r="AN257">
        <v>5</v>
      </c>
      <c r="AO257" t="s">
        <v>1559</v>
      </c>
      <c r="AP257" t="s">
        <v>1560</v>
      </c>
      <c r="AQ257">
        <v>0.187</v>
      </c>
      <c r="AR257" t="s">
        <v>69</v>
      </c>
      <c r="AS257">
        <v>56</v>
      </c>
      <c r="AT257">
        <v>11</v>
      </c>
      <c r="AU257">
        <v>3.1480000000000001E-2</v>
      </c>
      <c r="AV257">
        <v>-5.64E-3</v>
      </c>
      <c r="AW257">
        <v>0.13511999999999999</v>
      </c>
      <c r="AX257">
        <v>-2.4889999999999999E-2</v>
      </c>
      <c r="AY257">
        <v>6.0699999999999999E-3</v>
      </c>
      <c r="AZ257">
        <v>-1.16E-3</v>
      </c>
      <c r="BA257">
        <v>4.4929999999999998E-2</v>
      </c>
      <c r="BB257">
        <v>1</v>
      </c>
      <c r="BC257" t="s">
        <v>70</v>
      </c>
      <c r="BD257">
        <v>0.62</v>
      </c>
      <c r="BE257">
        <v>0.62</v>
      </c>
      <c r="BF257" t="s">
        <v>71</v>
      </c>
      <c r="BG257">
        <v>0.121495327102803</v>
      </c>
      <c r="BI257">
        <v>67</v>
      </c>
      <c r="BJ257">
        <v>4.4929999999999998E-2</v>
      </c>
      <c r="BK257">
        <v>0.121495327102803</v>
      </c>
    </row>
    <row r="258" spans="1:63">
      <c r="A258">
        <v>1538</v>
      </c>
      <c r="B258" t="s">
        <v>1564</v>
      </c>
      <c r="D258" t="s">
        <v>60</v>
      </c>
      <c r="E258">
        <v>1575264</v>
      </c>
      <c r="F258">
        <v>1575779</v>
      </c>
      <c r="G258" t="s">
        <v>74</v>
      </c>
      <c r="H258">
        <v>172</v>
      </c>
      <c r="I258" t="s">
        <v>63</v>
      </c>
      <c r="J258">
        <v>5</v>
      </c>
      <c r="K258" t="str">
        <f>HYPERLINK("Gene1538-zp_tree_all.dnd", "Gene1538-tree")</f>
        <v>Gene1538-tree</v>
      </c>
      <c r="L258">
        <v>2</v>
      </c>
      <c r="M258">
        <v>3</v>
      </c>
      <c r="N258">
        <v>2</v>
      </c>
      <c r="O258">
        <v>3</v>
      </c>
      <c r="P258">
        <v>0.6</v>
      </c>
      <c r="Q258" t="s">
        <v>124</v>
      </c>
      <c r="R258" t="s">
        <v>86</v>
      </c>
      <c r="S258" t="s">
        <v>66</v>
      </c>
      <c r="T258" t="s">
        <v>66</v>
      </c>
      <c r="U258">
        <v>0</v>
      </c>
      <c r="V258">
        <v>0</v>
      </c>
      <c r="W258">
        <v>5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4</v>
      </c>
      <c r="AH258">
        <v>0</v>
      </c>
      <c r="AI258">
        <v>5</v>
      </c>
      <c r="AJ258">
        <v>2</v>
      </c>
      <c r="AK258">
        <v>3</v>
      </c>
      <c r="AL258">
        <v>4</v>
      </c>
      <c r="AM258">
        <v>6</v>
      </c>
      <c r="AN258">
        <v>1</v>
      </c>
      <c r="AO258" t="s">
        <v>1566</v>
      </c>
      <c r="AP258" t="s">
        <v>1567</v>
      </c>
      <c r="AQ258">
        <v>0.73499999999999999</v>
      </c>
      <c r="AR258" t="s">
        <v>69</v>
      </c>
      <c r="AS258">
        <v>9</v>
      </c>
      <c r="AT258">
        <v>5</v>
      </c>
      <c r="AU258">
        <v>1.3180000000000001E-2</v>
      </c>
      <c r="AV258">
        <v>-1.5499999999999999E-3</v>
      </c>
      <c r="AW258">
        <v>4.5019999999999998E-2</v>
      </c>
      <c r="AX258">
        <v>-7.2399999999999999E-3</v>
      </c>
      <c r="AY258">
        <v>5.3899999999999998E-3</v>
      </c>
      <c r="AZ258">
        <v>-7.6000000000000004E-4</v>
      </c>
      <c r="BA258">
        <v>0.11971</v>
      </c>
      <c r="BB258">
        <v>1</v>
      </c>
      <c r="BC258" t="s">
        <v>70</v>
      </c>
      <c r="BD258">
        <v>0.65200000000000002</v>
      </c>
      <c r="BE258">
        <v>0.186</v>
      </c>
      <c r="BF258" t="s">
        <v>71</v>
      </c>
      <c r="BG258">
        <v>7.5376884422110504E-2</v>
      </c>
      <c r="BI258">
        <v>14</v>
      </c>
      <c r="BJ258">
        <v>0.11971</v>
      </c>
      <c r="BK258">
        <v>7.5376884422110504E-2</v>
      </c>
    </row>
    <row r="259" spans="1:63">
      <c r="A259">
        <v>1540</v>
      </c>
      <c r="B259" t="s">
        <v>1571</v>
      </c>
      <c r="D259" t="s">
        <v>60</v>
      </c>
      <c r="E259">
        <v>1576129</v>
      </c>
      <c r="F259">
        <v>1576707</v>
      </c>
      <c r="G259" t="s">
        <v>74</v>
      </c>
      <c r="H259">
        <v>193</v>
      </c>
      <c r="I259" t="s">
        <v>63</v>
      </c>
      <c r="J259">
        <v>5</v>
      </c>
      <c r="K259" t="str">
        <f>HYPERLINK("Gene1540-zp_tree_all.dnd", "Gene1540-tree")</f>
        <v>Gene1540-tree</v>
      </c>
      <c r="L259">
        <v>0</v>
      </c>
      <c r="M259">
        <v>5</v>
      </c>
      <c r="N259">
        <v>0</v>
      </c>
      <c r="O259">
        <v>5</v>
      </c>
      <c r="P259">
        <v>1</v>
      </c>
      <c r="Q259" t="s">
        <v>66</v>
      </c>
      <c r="R259" t="s">
        <v>96</v>
      </c>
      <c r="S259" t="s">
        <v>66</v>
      </c>
      <c r="T259" t="s">
        <v>66</v>
      </c>
      <c r="U259">
        <v>0</v>
      </c>
      <c r="V259">
        <v>0</v>
      </c>
      <c r="W259">
        <v>9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9</v>
      </c>
      <c r="AH259">
        <v>0</v>
      </c>
      <c r="AI259">
        <v>5</v>
      </c>
      <c r="AJ259">
        <v>2</v>
      </c>
      <c r="AK259">
        <v>10</v>
      </c>
      <c r="AL259">
        <v>6</v>
      </c>
      <c r="AM259">
        <v>15</v>
      </c>
      <c r="AN259">
        <v>3</v>
      </c>
      <c r="AO259" t="s">
        <v>1573</v>
      </c>
      <c r="AP259" t="s">
        <v>1574</v>
      </c>
      <c r="AQ259">
        <v>1.6259999999999999</v>
      </c>
      <c r="AR259" t="s">
        <v>69</v>
      </c>
      <c r="AS259">
        <v>25</v>
      </c>
      <c r="AT259">
        <v>9</v>
      </c>
      <c r="AU259">
        <v>2.8150000000000001E-2</v>
      </c>
      <c r="AV259">
        <v>-4.3200000000000001E-3</v>
      </c>
      <c r="AW259">
        <v>0.10578</v>
      </c>
      <c r="AX259">
        <v>-1.805E-2</v>
      </c>
      <c r="AY259">
        <v>9.3200000000000002E-3</v>
      </c>
      <c r="AZ259">
        <v>-1.17E-3</v>
      </c>
      <c r="BA259">
        <v>8.8099999999999998E-2</v>
      </c>
      <c r="BB259">
        <v>1</v>
      </c>
      <c r="BC259" t="s">
        <v>70</v>
      </c>
      <c r="BD259">
        <v>0.71399999999999997</v>
      </c>
      <c r="BE259">
        <v>0.26100000000000001</v>
      </c>
      <c r="BF259" t="s">
        <v>71</v>
      </c>
      <c r="BG259">
        <v>0.20152091254752799</v>
      </c>
      <c r="BI259">
        <v>34</v>
      </c>
      <c r="BJ259">
        <v>8.8099999999999998E-2</v>
      </c>
      <c r="BK259">
        <v>0.20152091254752799</v>
      </c>
    </row>
    <row r="260" spans="1:63">
      <c r="A260">
        <v>1544</v>
      </c>
      <c r="B260" t="s">
        <v>1575</v>
      </c>
      <c r="D260" t="s">
        <v>60</v>
      </c>
      <c r="E260">
        <v>1580121</v>
      </c>
      <c r="F260">
        <v>1580549</v>
      </c>
      <c r="G260" t="s">
        <v>1577</v>
      </c>
      <c r="H260">
        <v>143</v>
      </c>
      <c r="I260" t="s">
        <v>63</v>
      </c>
      <c r="J260">
        <v>5</v>
      </c>
      <c r="K260" t="str">
        <f>HYPERLINK("Gene1544-zp_tree_all.dnd", "Gene1544-tree")</f>
        <v>Gene1544-tree</v>
      </c>
      <c r="L260">
        <v>5</v>
      </c>
      <c r="M260">
        <v>0</v>
      </c>
      <c r="N260">
        <v>5</v>
      </c>
      <c r="O260">
        <v>0</v>
      </c>
      <c r="P260">
        <v>0</v>
      </c>
      <c r="Q260" t="s">
        <v>96</v>
      </c>
      <c r="R260" t="s">
        <v>66</v>
      </c>
      <c r="S260" t="s">
        <v>66</v>
      </c>
      <c r="T260" t="s">
        <v>66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5</v>
      </c>
      <c r="AJ260">
        <v>1</v>
      </c>
      <c r="AK260">
        <v>10</v>
      </c>
      <c r="AL260">
        <v>0</v>
      </c>
      <c r="AM260">
        <v>6</v>
      </c>
      <c r="AN260">
        <v>0</v>
      </c>
      <c r="AO260" t="s">
        <v>68</v>
      </c>
      <c r="AP260" t="s">
        <v>68</v>
      </c>
      <c r="AQ260">
        <v>0</v>
      </c>
      <c r="AR260" t="s">
        <v>69</v>
      </c>
      <c r="AS260">
        <v>16</v>
      </c>
      <c r="AT260">
        <v>0</v>
      </c>
      <c r="AU260">
        <v>1.702E-2</v>
      </c>
      <c r="AV260">
        <v>-2.8700000000000002E-3</v>
      </c>
      <c r="AW260">
        <v>8.6230000000000001E-2</v>
      </c>
      <c r="AX260">
        <v>-1.508E-2</v>
      </c>
      <c r="AY260">
        <v>0</v>
      </c>
      <c r="AZ260">
        <v>0</v>
      </c>
      <c r="BA260">
        <v>0</v>
      </c>
      <c r="BB260">
        <v>1</v>
      </c>
      <c r="BC260" t="s">
        <v>70</v>
      </c>
      <c r="BD260">
        <v>0.10199999999999999</v>
      </c>
      <c r="BE260">
        <v>-0.40600000000000003</v>
      </c>
      <c r="BF260" t="s">
        <v>71</v>
      </c>
      <c r="BG260">
        <v>0.123595505617977</v>
      </c>
      <c r="BI260">
        <v>16</v>
      </c>
      <c r="BJ260">
        <v>0</v>
      </c>
      <c r="BK260">
        <v>0.123595505617977</v>
      </c>
    </row>
    <row r="261" spans="1:63">
      <c r="A261">
        <v>1545</v>
      </c>
      <c r="B261" t="s">
        <v>1578</v>
      </c>
      <c r="D261" t="s">
        <v>60</v>
      </c>
      <c r="E261">
        <v>1580622</v>
      </c>
      <c r="F261">
        <v>1581554</v>
      </c>
      <c r="G261" t="s">
        <v>1580</v>
      </c>
      <c r="H261">
        <v>311</v>
      </c>
      <c r="I261" t="s">
        <v>85</v>
      </c>
      <c r="J261">
        <v>4</v>
      </c>
      <c r="K261" t="str">
        <f>HYPERLINK("Gene1545-zp_tree_all.dnd", "Gene1545-tree")</f>
        <v>Gene1545-tree</v>
      </c>
      <c r="L261">
        <v>1</v>
      </c>
      <c r="M261">
        <v>3</v>
      </c>
      <c r="N261">
        <v>1</v>
      </c>
      <c r="O261">
        <v>3</v>
      </c>
      <c r="P261">
        <v>0.75</v>
      </c>
      <c r="Q261" t="s">
        <v>65</v>
      </c>
      <c r="R261" t="s">
        <v>86</v>
      </c>
      <c r="S261" t="s">
        <v>66</v>
      </c>
      <c r="T261" t="s">
        <v>66</v>
      </c>
      <c r="U261">
        <v>0</v>
      </c>
      <c r="V261">
        <v>0</v>
      </c>
      <c r="W261">
        <v>9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8</v>
      </c>
      <c r="AH261">
        <v>0</v>
      </c>
      <c r="AI261">
        <v>4</v>
      </c>
      <c r="AJ261">
        <v>1</v>
      </c>
      <c r="AK261">
        <v>39</v>
      </c>
      <c r="AL261">
        <v>8</v>
      </c>
      <c r="AM261">
        <v>2</v>
      </c>
      <c r="AN261">
        <v>1</v>
      </c>
      <c r="AO261" t="s">
        <v>1581</v>
      </c>
      <c r="AP261" t="s">
        <v>1582</v>
      </c>
      <c r="AQ261">
        <v>1.022</v>
      </c>
      <c r="AR261" t="s">
        <v>69</v>
      </c>
      <c r="AS261">
        <v>41</v>
      </c>
      <c r="AT261">
        <v>9</v>
      </c>
      <c r="AU261">
        <v>2.6970000000000001E-2</v>
      </c>
      <c r="AV261">
        <v>-8.4100000000000008E-3</v>
      </c>
      <c r="AW261">
        <v>0.10959000000000001</v>
      </c>
      <c r="AX261">
        <v>-3.8280000000000002E-2</v>
      </c>
      <c r="AY261">
        <v>6.4999999999999997E-3</v>
      </c>
      <c r="AZ261">
        <v>-1.2600000000000001E-3</v>
      </c>
      <c r="BA261">
        <v>5.9339999999999997E-2</v>
      </c>
      <c r="BB261">
        <v>1</v>
      </c>
      <c r="BC261" t="s">
        <v>70</v>
      </c>
      <c r="BD261">
        <v>-0.40300000000000002</v>
      </c>
      <c r="BE261">
        <v>-0.80100000000000005</v>
      </c>
      <c r="BF261" t="s">
        <v>71</v>
      </c>
      <c r="BG261">
        <v>9.8130841121495296E-2</v>
      </c>
      <c r="BI261">
        <v>50</v>
      </c>
      <c r="BJ261">
        <v>5.9339999999999997E-2</v>
      </c>
      <c r="BK261">
        <v>9.8130841121495296E-2</v>
      </c>
    </row>
    <row r="262" spans="1:63">
      <c r="A262">
        <v>1550</v>
      </c>
      <c r="B262" t="s">
        <v>1586</v>
      </c>
      <c r="D262" t="s">
        <v>60</v>
      </c>
      <c r="E262">
        <v>1587926</v>
      </c>
      <c r="F262">
        <v>1588897</v>
      </c>
      <c r="G262" t="s">
        <v>1588</v>
      </c>
      <c r="H262">
        <v>324</v>
      </c>
      <c r="I262" t="s">
        <v>63</v>
      </c>
      <c r="J262">
        <v>5</v>
      </c>
      <c r="K262" t="str">
        <f>HYPERLINK("Gene1550-zp_tree_all.dnd", "Gene1550-tree")</f>
        <v>Gene1550-tree</v>
      </c>
      <c r="L262">
        <v>2</v>
      </c>
      <c r="M262">
        <v>3</v>
      </c>
      <c r="N262">
        <v>2</v>
      </c>
      <c r="O262">
        <v>3</v>
      </c>
      <c r="P262">
        <v>0.6</v>
      </c>
      <c r="Q262" t="s">
        <v>124</v>
      </c>
      <c r="R262" t="s">
        <v>86</v>
      </c>
      <c r="S262" t="s">
        <v>66</v>
      </c>
      <c r="T262" t="s">
        <v>66</v>
      </c>
      <c r="U262">
        <v>1</v>
      </c>
      <c r="V262">
        <v>2</v>
      </c>
      <c r="W262">
        <v>3</v>
      </c>
      <c r="X262">
        <v>0.4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</v>
      </c>
      <c r="AE262">
        <v>0</v>
      </c>
      <c r="AF262">
        <v>2</v>
      </c>
      <c r="AG262">
        <v>3</v>
      </c>
      <c r="AH262">
        <v>0.4</v>
      </c>
      <c r="AI262">
        <v>5</v>
      </c>
      <c r="AJ262">
        <v>2</v>
      </c>
      <c r="AK262">
        <v>22</v>
      </c>
      <c r="AL262">
        <v>3</v>
      </c>
      <c r="AM262">
        <v>28</v>
      </c>
      <c r="AN262">
        <v>2</v>
      </c>
      <c r="AO262" t="s">
        <v>1589</v>
      </c>
      <c r="AP262" t="s">
        <v>1590</v>
      </c>
      <c r="AQ262">
        <v>1.099</v>
      </c>
      <c r="AR262" t="s">
        <v>69</v>
      </c>
      <c r="AS262">
        <v>50</v>
      </c>
      <c r="AT262">
        <v>5</v>
      </c>
      <c r="AU262">
        <v>2.726E-2</v>
      </c>
      <c r="AV262">
        <v>-4.2199999999999998E-3</v>
      </c>
      <c r="AW262">
        <v>0.11253000000000001</v>
      </c>
      <c r="AX262">
        <v>-1.8880000000000001E-2</v>
      </c>
      <c r="AY262">
        <v>2.7399999999999998E-3</v>
      </c>
      <c r="AZ262">
        <v>-4.2999999999999999E-4</v>
      </c>
      <c r="BA262">
        <v>2.4309999999999998E-2</v>
      </c>
      <c r="BB262">
        <v>1</v>
      </c>
      <c r="BC262" t="s">
        <v>70</v>
      </c>
      <c r="BD262">
        <v>0.623</v>
      </c>
      <c r="BE262">
        <v>0.46899999999999997</v>
      </c>
      <c r="BF262" t="s">
        <v>71</v>
      </c>
      <c r="BG262">
        <v>0.103117505995203</v>
      </c>
      <c r="BI262">
        <v>55</v>
      </c>
      <c r="BJ262">
        <v>2.4309999999999998E-2</v>
      </c>
      <c r="BK262">
        <v>0.103117505995203</v>
      </c>
    </row>
    <row r="263" spans="1:63">
      <c r="A263">
        <v>1552</v>
      </c>
      <c r="B263" t="s">
        <v>1591</v>
      </c>
      <c r="D263" t="s">
        <v>60</v>
      </c>
      <c r="E263">
        <v>1590317</v>
      </c>
      <c r="F263">
        <v>1591414</v>
      </c>
      <c r="G263" t="s">
        <v>1593</v>
      </c>
      <c r="H263">
        <v>366</v>
      </c>
      <c r="I263" t="s">
        <v>63</v>
      </c>
      <c r="J263">
        <v>5</v>
      </c>
      <c r="K263" t="str">
        <f>HYPERLINK("Gene1552-zp_tree_all.dnd", "Gene1552-tree")</f>
        <v>Gene1552-tree</v>
      </c>
      <c r="L263">
        <v>3</v>
      </c>
      <c r="M263">
        <v>2</v>
      </c>
      <c r="N263">
        <v>3</v>
      </c>
      <c r="O263">
        <v>2</v>
      </c>
      <c r="P263">
        <v>0.4</v>
      </c>
      <c r="Q263" t="s">
        <v>86</v>
      </c>
      <c r="R263" t="s">
        <v>124</v>
      </c>
      <c r="S263" t="s">
        <v>66</v>
      </c>
      <c r="T263" t="s">
        <v>66</v>
      </c>
      <c r="U263">
        <v>0</v>
      </c>
      <c r="V263">
        <v>0</v>
      </c>
      <c r="W263">
        <v>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2</v>
      </c>
      <c r="AH263">
        <v>0</v>
      </c>
      <c r="AI263">
        <v>5</v>
      </c>
      <c r="AJ263">
        <v>2</v>
      </c>
      <c r="AK263">
        <v>31</v>
      </c>
      <c r="AL263">
        <v>2</v>
      </c>
      <c r="AM263">
        <v>39</v>
      </c>
      <c r="AN263">
        <v>0</v>
      </c>
      <c r="AO263" t="s">
        <v>1594</v>
      </c>
      <c r="AP263" t="s">
        <v>68</v>
      </c>
      <c r="AQ263">
        <v>1.218</v>
      </c>
      <c r="AR263" t="s">
        <v>69</v>
      </c>
      <c r="AS263">
        <v>70</v>
      </c>
      <c r="AT263">
        <v>2</v>
      </c>
      <c r="AU263">
        <v>3.1419999999999997E-2</v>
      </c>
      <c r="AV263">
        <v>-5.2399999999999999E-3</v>
      </c>
      <c r="AW263">
        <v>0.14094999999999999</v>
      </c>
      <c r="AX263">
        <v>-2.46E-2</v>
      </c>
      <c r="AY263">
        <v>9.7000000000000005E-4</v>
      </c>
      <c r="AZ263">
        <v>-2.3000000000000001E-4</v>
      </c>
      <c r="BA263">
        <v>6.8599999999999998E-3</v>
      </c>
      <c r="BB263">
        <v>1</v>
      </c>
      <c r="BC263" t="s">
        <v>70</v>
      </c>
      <c r="BD263">
        <v>0.80100000000000005</v>
      </c>
      <c r="BE263">
        <v>0.29099999999999998</v>
      </c>
      <c r="BF263" t="s">
        <v>71</v>
      </c>
      <c r="BG263">
        <v>9.68992248062015E-2</v>
      </c>
      <c r="BI263">
        <v>72</v>
      </c>
      <c r="BJ263">
        <v>6.8599999999999998E-3</v>
      </c>
      <c r="BK263">
        <v>9.68992248062015E-2</v>
      </c>
    </row>
    <row r="264" spans="1:63">
      <c r="A264">
        <v>1553</v>
      </c>
      <c r="B264" t="s">
        <v>1595</v>
      </c>
      <c r="D264" t="s">
        <v>60</v>
      </c>
      <c r="E264">
        <v>1591540</v>
      </c>
      <c r="F264">
        <v>1592628</v>
      </c>
      <c r="G264" t="s">
        <v>1597</v>
      </c>
      <c r="H264">
        <v>363</v>
      </c>
      <c r="I264" t="s">
        <v>85</v>
      </c>
      <c r="J264">
        <v>4</v>
      </c>
      <c r="K264" t="str">
        <f>HYPERLINK("Gene1553-zp_tree_all.dnd", "Gene1553-tree")</f>
        <v>Gene1553-tree</v>
      </c>
      <c r="L264">
        <v>1</v>
      </c>
      <c r="M264">
        <v>3</v>
      </c>
      <c r="N264">
        <v>1</v>
      </c>
      <c r="O264">
        <v>3</v>
      </c>
      <c r="P264">
        <v>0.75</v>
      </c>
      <c r="Q264" t="s">
        <v>65</v>
      </c>
      <c r="R264" t="s">
        <v>86</v>
      </c>
      <c r="S264" t="s">
        <v>66</v>
      </c>
      <c r="T264" t="s">
        <v>66</v>
      </c>
      <c r="U264">
        <v>1</v>
      </c>
      <c r="V264">
        <v>2</v>
      </c>
      <c r="W264">
        <v>8</v>
      </c>
      <c r="X264">
        <v>0.2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</v>
      </c>
      <c r="AF264">
        <v>2</v>
      </c>
      <c r="AG264">
        <v>8</v>
      </c>
      <c r="AH264">
        <v>0.2</v>
      </c>
      <c r="AI264">
        <v>4</v>
      </c>
      <c r="AJ264">
        <v>1</v>
      </c>
      <c r="AK264">
        <v>48</v>
      </c>
      <c r="AL264">
        <v>11</v>
      </c>
      <c r="AM264">
        <v>1</v>
      </c>
      <c r="AN264">
        <v>1</v>
      </c>
      <c r="AO264" t="s">
        <v>1598</v>
      </c>
      <c r="AP264" t="s">
        <v>1599</v>
      </c>
      <c r="AQ264">
        <v>3.1760000000000002</v>
      </c>
      <c r="AR264" t="s">
        <v>69</v>
      </c>
      <c r="AS264">
        <v>49</v>
      </c>
      <c r="AT264">
        <v>12</v>
      </c>
      <c r="AU264">
        <v>2.7400000000000001E-2</v>
      </c>
      <c r="AV264">
        <v>-7.0000000000000001E-3</v>
      </c>
      <c r="AW264">
        <v>0.10238</v>
      </c>
      <c r="AX264">
        <v>-2.8969999999999999E-2</v>
      </c>
      <c r="AY264">
        <v>7.2500000000000004E-3</v>
      </c>
      <c r="AZ264">
        <v>-1.4E-3</v>
      </c>
      <c r="BA264">
        <v>7.0849999999999996E-2</v>
      </c>
      <c r="BB264">
        <v>1</v>
      </c>
      <c r="BC264" t="s">
        <v>70</v>
      </c>
      <c r="BD264">
        <v>-0.42199999999999999</v>
      </c>
      <c r="BE264">
        <v>-0.75700000000000001</v>
      </c>
      <c r="BF264" t="s">
        <v>71</v>
      </c>
      <c r="BG264">
        <v>0.16008316008316001</v>
      </c>
      <c r="BI264">
        <v>61</v>
      </c>
      <c r="BJ264">
        <v>7.0849999999999996E-2</v>
      </c>
      <c r="BK264">
        <v>0.16008316008316001</v>
      </c>
    </row>
    <row r="265" spans="1:63">
      <c r="A265">
        <v>1554</v>
      </c>
      <c r="B265" t="s">
        <v>1600</v>
      </c>
      <c r="D265" t="s">
        <v>60</v>
      </c>
      <c r="E265">
        <v>1592663</v>
      </c>
      <c r="F265">
        <v>1593571</v>
      </c>
      <c r="G265" t="s">
        <v>1602</v>
      </c>
      <c r="H265">
        <v>303</v>
      </c>
      <c r="I265" t="s">
        <v>63</v>
      </c>
      <c r="J265">
        <v>5</v>
      </c>
      <c r="K265" t="str">
        <f>HYPERLINK("Gene1554-zp_tree_all.dnd", "Gene1554-tree")</f>
        <v>Gene1554-tree</v>
      </c>
      <c r="L265">
        <v>4</v>
      </c>
      <c r="M265">
        <v>1</v>
      </c>
      <c r="N265">
        <v>4</v>
      </c>
      <c r="O265">
        <v>1</v>
      </c>
      <c r="P265">
        <v>0.2</v>
      </c>
      <c r="Q265" t="s">
        <v>64</v>
      </c>
      <c r="R265" t="s">
        <v>65</v>
      </c>
      <c r="S265" t="s">
        <v>66</v>
      </c>
      <c r="T265" t="s">
        <v>66</v>
      </c>
      <c r="U265">
        <v>0</v>
      </c>
      <c r="V265">
        <v>0</v>
      </c>
      <c r="W265">
        <v>2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1</v>
      </c>
      <c r="AH265">
        <v>0</v>
      </c>
      <c r="AI265">
        <v>5</v>
      </c>
      <c r="AJ265">
        <v>2</v>
      </c>
      <c r="AK265">
        <v>27</v>
      </c>
      <c r="AL265">
        <v>1</v>
      </c>
      <c r="AM265">
        <v>28</v>
      </c>
      <c r="AN265">
        <v>1</v>
      </c>
      <c r="AO265" t="s">
        <v>1603</v>
      </c>
      <c r="AP265" t="s">
        <v>1604</v>
      </c>
      <c r="AQ265">
        <v>4.7E-2</v>
      </c>
      <c r="AR265" t="s">
        <v>69</v>
      </c>
      <c r="AS265">
        <v>55</v>
      </c>
      <c r="AT265">
        <v>2</v>
      </c>
      <c r="AU265">
        <v>3.014E-2</v>
      </c>
      <c r="AV265">
        <v>-5.11E-3</v>
      </c>
      <c r="AW265">
        <v>0.14349999999999999</v>
      </c>
      <c r="AX265">
        <v>-2.5239999999999999E-2</v>
      </c>
      <c r="AY265">
        <v>1.4300000000000001E-3</v>
      </c>
      <c r="AZ265">
        <v>-3.5E-4</v>
      </c>
      <c r="BA265">
        <v>9.9500000000000005E-3</v>
      </c>
      <c r="BB265">
        <v>1</v>
      </c>
      <c r="BC265" t="s">
        <v>70</v>
      </c>
      <c r="BD265">
        <v>0.73799999999999999</v>
      </c>
      <c r="BE265">
        <v>0.496</v>
      </c>
      <c r="BF265" t="s">
        <v>71</v>
      </c>
      <c r="BG265">
        <v>0.19431279620853001</v>
      </c>
      <c r="BI265">
        <v>57</v>
      </c>
      <c r="BJ265">
        <v>9.9500000000000005E-3</v>
      </c>
      <c r="BK265">
        <v>0.19431279620853001</v>
      </c>
    </row>
    <row r="266" spans="1:63">
      <c r="A266">
        <v>1555</v>
      </c>
      <c r="B266" t="s">
        <v>1605</v>
      </c>
      <c r="D266" t="s">
        <v>60</v>
      </c>
      <c r="E266">
        <v>1593704</v>
      </c>
      <c r="F266">
        <v>1594492</v>
      </c>
      <c r="G266" t="s">
        <v>1607</v>
      </c>
      <c r="H266">
        <v>263</v>
      </c>
      <c r="I266" t="s">
        <v>63</v>
      </c>
      <c r="J266">
        <v>5</v>
      </c>
      <c r="K266" t="str">
        <f>HYPERLINK("Gene1555-zp_tree_all.dnd", "Gene1555-tree")</f>
        <v>Gene1555-tree</v>
      </c>
      <c r="L266">
        <v>4</v>
      </c>
      <c r="M266">
        <v>1</v>
      </c>
      <c r="N266">
        <v>4</v>
      </c>
      <c r="O266">
        <v>1</v>
      </c>
      <c r="P266">
        <v>0.2</v>
      </c>
      <c r="Q266" t="s">
        <v>64</v>
      </c>
      <c r="R266" t="s">
        <v>65</v>
      </c>
      <c r="S266" t="s">
        <v>66</v>
      </c>
      <c r="T266" t="s">
        <v>66</v>
      </c>
      <c r="U266">
        <v>0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3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5</v>
      </c>
      <c r="AJ266">
        <v>2</v>
      </c>
      <c r="AK266">
        <v>18</v>
      </c>
      <c r="AL266">
        <v>1</v>
      </c>
      <c r="AM266">
        <v>26</v>
      </c>
      <c r="AN266">
        <v>3</v>
      </c>
      <c r="AO266" t="s">
        <v>1608</v>
      </c>
      <c r="AP266" t="s">
        <v>1609</v>
      </c>
      <c r="AQ266">
        <v>0.28699999999999998</v>
      </c>
      <c r="AR266" t="s">
        <v>69</v>
      </c>
      <c r="AS266">
        <v>44</v>
      </c>
      <c r="AT266">
        <v>4</v>
      </c>
      <c r="AU266">
        <v>3.0800000000000001E-2</v>
      </c>
      <c r="AV266">
        <v>-5.6299999999999996E-3</v>
      </c>
      <c r="AW266">
        <v>0.15128</v>
      </c>
      <c r="AX266">
        <v>-2.8670000000000001E-2</v>
      </c>
      <c r="AY266">
        <v>3.5500000000000002E-3</v>
      </c>
      <c r="AZ266">
        <v>-6.6E-4</v>
      </c>
      <c r="BA266">
        <v>2.3460000000000002E-2</v>
      </c>
      <c r="BB266">
        <v>1</v>
      </c>
      <c r="BC266" t="s">
        <v>70</v>
      </c>
      <c r="BD266">
        <v>0.94199999999999995</v>
      </c>
      <c r="BE266">
        <v>0.48799999999999999</v>
      </c>
      <c r="BF266" t="s">
        <v>71</v>
      </c>
      <c r="BG266">
        <v>9.45945945945946E-2</v>
      </c>
      <c r="BI266">
        <v>48</v>
      </c>
      <c r="BJ266">
        <v>2.3460000000000002E-2</v>
      </c>
      <c r="BK266">
        <v>9.45945945945946E-2</v>
      </c>
    </row>
    <row r="267" spans="1:63">
      <c r="A267">
        <v>1558</v>
      </c>
      <c r="B267" t="s">
        <v>1610</v>
      </c>
      <c r="D267" t="s">
        <v>60</v>
      </c>
      <c r="E267">
        <v>1595935</v>
      </c>
      <c r="F267">
        <v>1596297</v>
      </c>
      <c r="G267" t="s">
        <v>1612</v>
      </c>
      <c r="H267">
        <v>121</v>
      </c>
      <c r="I267" t="s">
        <v>63</v>
      </c>
      <c r="J267">
        <v>5</v>
      </c>
      <c r="K267" t="str">
        <f>HYPERLINK("Gene1558-zp_tree_all.dnd", "Gene1558-tree")</f>
        <v>Gene1558-tree</v>
      </c>
      <c r="L267">
        <v>3</v>
      </c>
      <c r="M267">
        <v>2</v>
      </c>
      <c r="N267">
        <v>2</v>
      </c>
      <c r="O267">
        <v>2</v>
      </c>
      <c r="P267">
        <v>0.5</v>
      </c>
      <c r="Q267" t="s">
        <v>185</v>
      </c>
      <c r="R267" t="s">
        <v>124</v>
      </c>
      <c r="S267" t="s">
        <v>66</v>
      </c>
      <c r="T267" t="s">
        <v>66</v>
      </c>
      <c r="U267">
        <v>0</v>
      </c>
      <c r="V267">
        <v>0</v>
      </c>
      <c r="W267">
        <v>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2</v>
      </c>
      <c r="AH267">
        <v>0</v>
      </c>
      <c r="AI267">
        <v>3</v>
      </c>
      <c r="AJ267">
        <v>1</v>
      </c>
      <c r="AK267">
        <v>7</v>
      </c>
      <c r="AL267">
        <v>2</v>
      </c>
      <c r="AM267">
        <v>5</v>
      </c>
      <c r="AN267">
        <v>0</v>
      </c>
      <c r="AO267" t="s">
        <v>1613</v>
      </c>
      <c r="AP267" t="s">
        <v>68</v>
      </c>
      <c r="AQ267">
        <v>3.1930000000000001</v>
      </c>
      <c r="AR267" t="s">
        <v>239</v>
      </c>
      <c r="AS267">
        <v>12</v>
      </c>
      <c r="AT267">
        <v>2</v>
      </c>
      <c r="AU267">
        <v>2.1579999999999998E-2</v>
      </c>
      <c r="AV267">
        <v>-3.2699999999999999E-3</v>
      </c>
      <c r="AW267">
        <v>8.1490000000000007E-2</v>
      </c>
      <c r="AX267">
        <v>-1.3429999999999999E-2</v>
      </c>
      <c r="AY267">
        <v>3.6600000000000001E-3</v>
      </c>
      <c r="AZ267">
        <v>-6.0999999999999997E-4</v>
      </c>
      <c r="BA267">
        <v>4.4970000000000003E-2</v>
      </c>
      <c r="BB267">
        <v>1</v>
      </c>
      <c r="BC267" t="s">
        <v>70</v>
      </c>
      <c r="BD267">
        <v>-0.13</v>
      </c>
      <c r="BE267">
        <v>-0.13</v>
      </c>
      <c r="BF267" t="s">
        <v>71</v>
      </c>
      <c r="BG267">
        <v>0.16176470588235201</v>
      </c>
      <c r="BI267">
        <v>14</v>
      </c>
      <c r="BJ267">
        <v>4.4970000000000003E-2</v>
      </c>
      <c r="BK267">
        <v>0.16176470588235201</v>
      </c>
    </row>
    <row r="268" spans="1:63">
      <c r="A268">
        <v>1559</v>
      </c>
      <c r="B268" t="s">
        <v>1614</v>
      </c>
      <c r="D268" t="s">
        <v>60</v>
      </c>
      <c r="E268">
        <v>1596474</v>
      </c>
      <c r="F268">
        <v>1597793</v>
      </c>
      <c r="G268" t="s">
        <v>1616</v>
      </c>
      <c r="H268">
        <v>440</v>
      </c>
      <c r="I268" t="s">
        <v>63</v>
      </c>
      <c r="J268">
        <v>5</v>
      </c>
      <c r="K268" t="str">
        <f>HYPERLINK("Gene1559-zp_tree_all.dnd", "Gene1559-tree")</f>
        <v>Gene1559-tree</v>
      </c>
      <c r="L268">
        <v>2</v>
      </c>
      <c r="M268">
        <v>3</v>
      </c>
      <c r="N268">
        <v>2</v>
      </c>
      <c r="O268">
        <v>3</v>
      </c>
      <c r="P268">
        <v>0.6</v>
      </c>
      <c r="Q268" t="s">
        <v>124</v>
      </c>
      <c r="R268" t="s">
        <v>86</v>
      </c>
      <c r="S268" t="s">
        <v>66</v>
      </c>
      <c r="T268" t="s">
        <v>66</v>
      </c>
      <c r="U268">
        <v>0</v>
      </c>
      <c r="V268">
        <v>0</v>
      </c>
      <c r="W268">
        <v>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7</v>
      </c>
      <c r="AH268">
        <v>0</v>
      </c>
      <c r="AI268">
        <v>4</v>
      </c>
      <c r="AJ268">
        <v>2</v>
      </c>
      <c r="AK268">
        <v>22</v>
      </c>
      <c r="AL268">
        <v>3</v>
      </c>
      <c r="AM268">
        <v>18</v>
      </c>
      <c r="AN268">
        <v>4</v>
      </c>
      <c r="AO268" t="s">
        <v>1617</v>
      </c>
      <c r="AP268" t="s">
        <v>1618</v>
      </c>
      <c r="AQ268">
        <v>0.32500000000000001</v>
      </c>
      <c r="AR268" t="s">
        <v>69</v>
      </c>
      <c r="AS268">
        <v>40</v>
      </c>
      <c r="AT268">
        <v>7</v>
      </c>
      <c r="AU268">
        <v>1.7049999999999999E-2</v>
      </c>
      <c r="AV268">
        <v>-2.82E-3</v>
      </c>
      <c r="AW268">
        <v>6.6900000000000001E-2</v>
      </c>
      <c r="AX268">
        <v>-1.107E-2</v>
      </c>
      <c r="AY268">
        <v>3.5400000000000002E-3</v>
      </c>
      <c r="AZ268">
        <v>-6.8000000000000005E-4</v>
      </c>
      <c r="BA268">
        <v>5.2859999999999997E-2</v>
      </c>
      <c r="BB268">
        <v>1</v>
      </c>
      <c r="BC268" t="s">
        <v>70</v>
      </c>
      <c r="BD268">
        <v>0.314</v>
      </c>
      <c r="BE268">
        <v>0</v>
      </c>
      <c r="BF268" t="s">
        <v>71</v>
      </c>
      <c r="BG268">
        <v>0.113043478260869</v>
      </c>
      <c r="BI268">
        <v>47</v>
      </c>
      <c r="BJ268">
        <v>5.2859999999999997E-2</v>
      </c>
      <c r="BK268">
        <v>0.113043478260869</v>
      </c>
    </row>
    <row r="269" spans="1:63">
      <c r="A269">
        <v>1560</v>
      </c>
      <c r="B269" t="s">
        <v>1619</v>
      </c>
      <c r="D269" t="s">
        <v>60</v>
      </c>
      <c r="E269">
        <v>1597832</v>
      </c>
      <c r="F269">
        <v>1598977</v>
      </c>
      <c r="G269" t="s">
        <v>1621</v>
      </c>
      <c r="H269">
        <v>382</v>
      </c>
      <c r="I269" t="s">
        <v>63</v>
      </c>
      <c r="J269">
        <v>5</v>
      </c>
      <c r="K269" t="str">
        <f>HYPERLINK("Gene1560-zp_tree_all.dnd", "Gene1560-tree")</f>
        <v>Gene1560-tree</v>
      </c>
      <c r="L269">
        <v>3</v>
      </c>
      <c r="M269">
        <v>2</v>
      </c>
      <c r="N269">
        <v>3</v>
      </c>
      <c r="O269">
        <v>2</v>
      </c>
      <c r="P269">
        <v>0.4</v>
      </c>
      <c r="Q269" t="s">
        <v>86</v>
      </c>
      <c r="R269" t="s">
        <v>124</v>
      </c>
      <c r="S269" t="s">
        <v>66</v>
      </c>
      <c r="T269" t="s">
        <v>66</v>
      </c>
      <c r="U269">
        <v>0</v>
      </c>
      <c r="V269">
        <v>0</v>
      </c>
      <c r="W269">
        <v>3</v>
      </c>
      <c r="X269">
        <v>0</v>
      </c>
      <c r="Y269">
        <v>0</v>
      </c>
      <c r="Z269">
        <v>0</v>
      </c>
      <c r="AA269">
        <v>0</v>
      </c>
      <c r="AB269">
        <v>2</v>
      </c>
      <c r="AC269">
        <v>0</v>
      </c>
      <c r="AD269">
        <v>0</v>
      </c>
      <c r="AE269">
        <v>0</v>
      </c>
      <c r="AF269">
        <v>0</v>
      </c>
      <c r="AG269">
        <v>3</v>
      </c>
      <c r="AH269">
        <v>0</v>
      </c>
      <c r="AI269">
        <v>5</v>
      </c>
      <c r="AJ269">
        <v>2</v>
      </c>
      <c r="AK269">
        <v>24</v>
      </c>
      <c r="AL269">
        <v>3</v>
      </c>
      <c r="AM269">
        <v>35</v>
      </c>
      <c r="AN269">
        <v>1</v>
      </c>
      <c r="AO269" t="s">
        <v>1622</v>
      </c>
      <c r="AP269" t="s">
        <v>1623</v>
      </c>
      <c r="AQ269">
        <v>0.67</v>
      </c>
      <c r="AR269" t="s">
        <v>69</v>
      </c>
      <c r="AS269">
        <v>59</v>
      </c>
      <c r="AT269">
        <v>4</v>
      </c>
      <c r="AU269">
        <v>2.827E-2</v>
      </c>
      <c r="AV269">
        <v>-5.3099999999999996E-3</v>
      </c>
      <c r="AW269">
        <v>0.12808</v>
      </c>
      <c r="AX269">
        <v>-2.554E-2</v>
      </c>
      <c r="AY269">
        <v>2.0500000000000002E-3</v>
      </c>
      <c r="AZ269">
        <v>-3.8999999999999999E-4</v>
      </c>
      <c r="BA269">
        <v>1.6039999999999999E-2</v>
      </c>
      <c r="BB269">
        <v>1</v>
      </c>
      <c r="BC269" t="s">
        <v>70</v>
      </c>
      <c r="BD269">
        <v>0.54100000000000004</v>
      </c>
      <c r="BE269">
        <v>0.54100000000000004</v>
      </c>
      <c r="BF269" t="s">
        <v>71</v>
      </c>
      <c r="BG269">
        <v>9.9264705882352894E-2</v>
      </c>
      <c r="BI269">
        <v>63</v>
      </c>
      <c r="BJ269">
        <v>1.6039999999999999E-2</v>
      </c>
      <c r="BK269">
        <v>9.9264705882352894E-2</v>
      </c>
    </row>
    <row r="270" spans="1:63">
      <c r="A270">
        <v>1564</v>
      </c>
      <c r="B270" t="s">
        <v>1624</v>
      </c>
      <c r="D270" t="s">
        <v>60</v>
      </c>
      <c r="E270">
        <v>1605630</v>
      </c>
      <c r="F270">
        <v>1606409</v>
      </c>
      <c r="G270" t="s">
        <v>1626</v>
      </c>
      <c r="H270">
        <v>260</v>
      </c>
      <c r="I270" t="s">
        <v>63</v>
      </c>
      <c r="J270">
        <v>5</v>
      </c>
      <c r="K270" t="str">
        <f>HYPERLINK("Gene1564-zp_tree_all.dnd", "Gene1564-tree")</f>
        <v>Gene1564-tree</v>
      </c>
      <c r="L270">
        <v>5</v>
      </c>
      <c r="M270">
        <v>0</v>
      </c>
      <c r="N270">
        <v>5</v>
      </c>
      <c r="O270">
        <v>0</v>
      </c>
      <c r="P270">
        <v>0</v>
      </c>
      <c r="Q270" t="s">
        <v>96</v>
      </c>
      <c r="R270" t="s">
        <v>66</v>
      </c>
      <c r="S270" t="s">
        <v>66</v>
      </c>
      <c r="T270" t="s">
        <v>66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5</v>
      </c>
      <c r="AJ270">
        <v>2</v>
      </c>
      <c r="AK270">
        <v>14</v>
      </c>
      <c r="AL270">
        <v>0</v>
      </c>
      <c r="AM270">
        <v>15</v>
      </c>
      <c r="AN270">
        <v>1</v>
      </c>
      <c r="AO270" t="s">
        <v>68</v>
      </c>
      <c r="AP270" t="s">
        <v>1627</v>
      </c>
      <c r="AQ270">
        <v>0.91</v>
      </c>
      <c r="AR270" t="s">
        <v>69</v>
      </c>
      <c r="AS270">
        <v>29</v>
      </c>
      <c r="AT270">
        <v>1</v>
      </c>
      <c r="AU270">
        <v>1.949E-2</v>
      </c>
      <c r="AV270">
        <v>-3.3600000000000001E-3</v>
      </c>
      <c r="AW270">
        <v>9.5039999999999999E-2</v>
      </c>
      <c r="AX270">
        <v>-1.6580000000000001E-2</v>
      </c>
      <c r="AY270">
        <v>9.7999999999999997E-4</v>
      </c>
      <c r="AZ270">
        <v>-2.3000000000000001E-4</v>
      </c>
      <c r="BA270">
        <v>1.03E-2</v>
      </c>
      <c r="BB270">
        <v>1</v>
      </c>
      <c r="BC270" t="s">
        <v>70</v>
      </c>
      <c r="BD270">
        <v>0.41499999999999998</v>
      </c>
      <c r="BE270">
        <v>0.41499999999999998</v>
      </c>
      <c r="BF270" t="s">
        <v>71</v>
      </c>
      <c r="BG270">
        <v>0.15223880597014899</v>
      </c>
      <c r="BI270">
        <v>30</v>
      </c>
      <c r="BJ270">
        <v>1.03E-2</v>
      </c>
      <c r="BK270">
        <v>0.15223880597014899</v>
      </c>
    </row>
    <row r="271" spans="1:63">
      <c r="A271">
        <v>1567</v>
      </c>
      <c r="B271" t="s">
        <v>1628</v>
      </c>
      <c r="D271" t="s">
        <v>60</v>
      </c>
      <c r="E271">
        <v>1608919</v>
      </c>
      <c r="F271">
        <v>1609161</v>
      </c>
      <c r="G271" t="s">
        <v>74</v>
      </c>
      <c r="H271">
        <v>81</v>
      </c>
      <c r="I271" t="s">
        <v>63</v>
      </c>
      <c r="J271">
        <v>5</v>
      </c>
      <c r="K271" t="str">
        <f>HYPERLINK("Gene1567-zp_tree_all.dnd", "Gene1567-tree")</f>
        <v>Gene1567-tree</v>
      </c>
      <c r="L271">
        <v>5</v>
      </c>
      <c r="M271">
        <v>0</v>
      </c>
      <c r="N271">
        <v>5</v>
      </c>
      <c r="O271">
        <v>0</v>
      </c>
      <c r="P271">
        <v>0</v>
      </c>
      <c r="Q271" t="s">
        <v>96</v>
      </c>
      <c r="R271" t="s">
        <v>66</v>
      </c>
      <c r="S271" t="s">
        <v>66</v>
      </c>
      <c r="T271" t="s">
        <v>66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2</v>
      </c>
      <c r="AJ271">
        <v>2</v>
      </c>
      <c r="AK271">
        <v>3</v>
      </c>
      <c r="AL271">
        <v>0</v>
      </c>
      <c r="AM271">
        <v>8</v>
      </c>
      <c r="AN271">
        <v>1</v>
      </c>
      <c r="AO271" t="s">
        <v>68</v>
      </c>
      <c r="AP271" t="s">
        <v>1630</v>
      </c>
      <c r="AQ271">
        <v>1.323</v>
      </c>
      <c r="AR271" t="s">
        <v>69</v>
      </c>
      <c r="AS271">
        <v>11</v>
      </c>
      <c r="AT271">
        <v>1</v>
      </c>
      <c r="AU271">
        <v>2.3460000000000002E-2</v>
      </c>
      <c r="AV271">
        <v>-3.6800000000000001E-3</v>
      </c>
      <c r="AW271">
        <v>0.10290000000000001</v>
      </c>
      <c r="AX271">
        <v>-1.5890000000000001E-2</v>
      </c>
      <c r="AY271">
        <v>3.1800000000000001E-3</v>
      </c>
      <c r="AZ271">
        <v>-7.6000000000000004E-4</v>
      </c>
      <c r="BA271">
        <v>3.0939999999999999E-2</v>
      </c>
      <c r="BB271">
        <v>1</v>
      </c>
      <c r="BC271" t="s">
        <v>70</v>
      </c>
      <c r="BD271">
        <v>1.3420000000000001</v>
      </c>
      <c r="BE271">
        <v>0.59599999999999997</v>
      </c>
      <c r="BF271" t="s">
        <v>71</v>
      </c>
      <c r="BG271">
        <v>0.30526315789473601</v>
      </c>
      <c r="BI271">
        <v>12</v>
      </c>
      <c r="BJ271">
        <v>3.0939999999999999E-2</v>
      </c>
      <c r="BK271">
        <v>0.30526315789473601</v>
      </c>
    </row>
    <row r="272" spans="1:63">
      <c r="A272">
        <v>1568</v>
      </c>
      <c r="B272" t="s">
        <v>1631</v>
      </c>
      <c r="D272" t="s">
        <v>60</v>
      </c>
      <c r="E272">
        <v>1609327</v>
      </c>
      <c r="F272">
        <v>1610160</v>
      </c>
      <c r="G272" t="s">
        <v>1633</v>
      </c>
      <c r="H272">
        <v>278</v>
      </c>
      <c r="I272" t="s">
        <v>85</v>
      </c>
      <c r="J272">
        <v>4</v>
      </c>
      <c r="K272" t="str">
        <f>HYPERLINK("Gene1568-zp_tree_all.dnd", "Gene1568-tree")</f>
        <v>Gene1568-tree</v>
      </c>
      <c r="L272">
        <v>0</v>
      </c>
      <c r="M272">
        <v>4</v>
      </c>
      <c r="N272">
        <v>0</v>
      </c>
      <c r="O272">
        <v>4</v>
      </c>
      <c r="P272">
        <v>1</v>
      </c>
      <c r="Q272" t="s">
        <v>66</v>
      </c>
      <c r="R272" t="s">
        <v>64</v>
      </c>
      <c r="S272" t="s">
        <v>66</v>
      </c>
      <c r="T272" t="s">
        <v>66</v>
      </c>
      <c r="U272">
        <v>1</v>
      </c>
      <c r="V272">
        <v>2</v>
      </c>
      <c r="W272">
        <v>16</v>
      </c>
      <c r="X272">
        <v>0.11111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2</v>
      </c>
      <c r="AF272">
        <v>2</v>
      </c>
      <c r="AG272">
        <v>16</v>
      </c>
      <c r="AH272">
        <v>0.11111</v>
      </c>
      <c r="AI272">
        <v>4</v>
      </c>
      <c r="AJ272">
        <v>1</v>
      </c>
      <c r="AK272">
        <v>30</v>
      </c>
      <c r="AL272">
        <v>18</v>
      </c>
      <c r="AM272">
        <v>1</v>
      </c>
      <c r="AN272">
        <v>0</v>
      </c>
      <c r="AO272" t="s">
        <v>1634</v>
      </c>
      <c r="AP272" t="s">
        <v>68</v>
      </c>
      <c r="AQ272">
        <v>0.71099999999999997</v>
      </c>
      <c r="AR272" t="s">
        <v>69</v>
      </c>
      <c r="AS272">
        <v>31</v>
      </c>
      <c r="AT272">
        <v>18</v>
      </c>
      <c r="AU272">
        <v>2.938E-2</v>
      </c>
      <c r="AV272">
        <v>-8.0800000000000004E-3</v>
      </c>
      <c r="AW272">
        <v>9.1789999999999997E-2</v>
      </c>
      <c r="AX272">
        <v>-3.0099999999999998E-2</v>
      </c>
      <c r="AY272">
        <v>1.406E-2</v>
      </c>
      <c r="AZ272">
        <v>-2.8E-3</v>
      </c>
      <c r="BA272">
        <v>0.15315000000000001</v>
      </c>
      <c r="BB272">
        <v>1</v>
      </c>
      <c r="BC272" t="s">
        <v>70</v>
      </c>
      <c r="BD272">
        <v>-0.66800000000000004</v>
      </c>
      <c r="BE272">
        <v>-0.86699999999999999</v>
      </c>
      <c r="BF272" t="s">
        <v>71</v>
      </c>
      <c r="BG272">
        <v>7.5718015665796307E-2</v>
      </c>
      <c r="BI272">
        <v>49</v>
      </c>
      <c r="BJ272">
        <v>0.15315000000000001</v>
      </c>
      <c r="BK272">
        <v>7.5718015665796307E-2</v>
      </c>
    </row>
    <row r="273" spans="1:63">
      <c r="A273">
        <v>1569</v>
      </c>
      <c r="B273" t="s">
        <v>1635</v>
      </c>
      <c r="D273" t="s">
        <v>60</v>
      </c>
      <c r="E273">
        <v>1610170</v>
      </c>
      <c r="F273">
        <v>1610859</v>
      </c>
      <c r="G273" t="s">
        <v>74</v>
      </c>
      <c r="H273">
        <v>230</v>
      </c>
      <c r="I273" t="s">
        <v>63</v>
      </c>
      <c r="J273">
        <v>5</v>
      </c>
      <c r="K273" t="str">
        <f>HYPERLINK("Gene1569-zp_tree_all.dnd", "Gene1569-tree")</f>
        <v>Gene1569-tree</v>
      </c>
      <c r="L273">
        <v>1</v>
      </c>
      <c r="M273">
        <v>4</v>
      </c>
      <c r="N273">
        <v>1</v>
      </c>
      <c r="O273">
        <v>4</v>
      </c>
      <c r="P273">
        <v>0.8</v>
      </c>
      <c r="Q273" t="s">
        <v>65</v>
      </c>
      <c r="R273" t="s">
        <v>64</v>
      </c>
      <c r="S273" t="s">
        <v>66</v>
      </c>
      <c r="T273" t="s">
        <v>66</v>
      </c>
      <c r="U273">
        <v>0</v>
      </c>
      <c r="V273">
        <v>0</v>
      </c>
      <c r="W273">
        <v>14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14</v>
      </c>
      <c r="AH273">
        <v>0</v>
      </c>
      <c r="AI273">
        <v>3</v>
      </c>
      <c r="AJ273">
        <v>2</v>
      </c>
      <c r="AK273">
        <v>7</v>
      </c>
      <c r="AL273">
        <v>4</v>
      </c>
      <c r="AM273">
        <v>12</v>
      </c>
      <c r="AN273">
        <v>10</v>
      </c>
      <c r="AO273" t="s">
        <v>1637</v>
      </c>
      <c r="AP273" t="s">
        <v>1638</v>
      </c>
      <c r="AQ273">
        <v>0.28799999999999998</v>
      </c>
      <c r="AR273" t="s">
        <v>69</v>
      </c>
      <c r="AS273">
        <v>19</v>
      </c>
      <c r="AT273">
        <v>14</v>
      </c>
      <c r="AU273">
        <v>2.4490000000000001E-2</v>
      </c>
      <c r="AV273">
        <v>-4.5900000000000003E-3</v>
      </c>
      <c r="AW273">
        <v>6.2059999999999997E-2</v>
      </c>
      <c r="AX273">
        <v>-1.1560000000000001E-2</v>
      </c>
      <c r="AY273">
        <v>1.4489999999999999E-2</v>
      </c>
      <c r="AZ273">
        <v>-2.8800000000000002E-3</v>
      </c>
      <c r="BA273">
        <v>0.23346</v>
      </c>
      <c r="BB273">
        <v>1</v>
      </c>
      <c r="BC273" t="s">
        <v>70</v>
      </c>
      <c r="BD273">
        <v>1.016</v>
      </c>
      <c r="BE273">
        <v>0.76400000000000001</v>
      </c>
      <c r="BF273" t="s">
        <v>71</v>
      </c>
      <c r="BG273">
        <v>9.5541401273885301E-2</v>
      </c>
      <c r="BI273">
        <v>33</v>
      </c>
      <c r="BJ273">
        <v>0.23346</v>
      </c>
      <c r="BK273">
        <v>9.5541401273885301E-2</v>
      </c>
    </row>
    <row r="274" spans="1:63">
      <c r="A274">
        <v>1570</v>
      </c>
      <c r="B274" t="s">
        <v>1639</v>
      </c>
      <c r="D274" t="s">
        <v>60</v>
      </c>
      <c r="E274">
        <v>1610865</v>
      </c>
      <c r="F274">
        <v>1611311</v>
      </c>
      <c r="G274" t="s">
        <v>1641</v>
      </c>
      <c r="H274">
        <v>149</v>
      </c>
      <c r="I274" t="s">
        <v>63</v>
      </c>
      <c r="J274">
        <v>5</v>
      </c>
      <c r="K274" t="str">
        <f>HYPERLINK("Gene1570-zp_tree_all.dnd", "Gene1570-tree")</f>
        <v>Gene1570-tree</v>
      </c>
      <c r="L274">
        <v>3</v>
      </c>
      <c r="M274">
        <v>2</v>
      </c>
      <c r="N274">
        <v>3</v>
      </c>
      <c r="O274">
        <v>1</v>
      </c>
      <c r="P274">
        <v>0.25</v>
      </c>
      <c r="Q274" t="s">
        <v>86</v>
      </c>
      <c r="R274" t="s">
        <v>65</v>
      </c>
      <c r="S274" t="s">
        <v>66</v>
      </c>
      <c r="T274" t="s">
        <v>66</v>
      </c>
      <c r="U274">
        <v>0</v>
      </c>
      <c r="V274">
        <v>0</v>
      </c>
      <c r="W274">
        <v>3</v>
      </c>
      <c r="X274">
        <v>0</v>
      </c>
      <c r="Y274">
        <v>0</v>
      </c>
      <c r="Z274">
        <v>0</v>
      </c>
      <c r="AA274">
        <v>0</v>
      </c>
      <c r="AB274">
        <v>2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3</v>
      </c>
      <c r="AJ274">
        <v>1</v>
      </c>
      <c r="AK274">
        <v>7</v>
      </c>
      <c r="AL274">
        <v>1</v>
      </c>
      <c r="AM274">
        <v>7</v>
      </c>
      <c r="AN274">
        <v>2</v>
      </c>
      <c r="AO274" t="s">
        <v>1642</v>
      </c>
      <c r="AP274" t="s">
        <v>1643</v>
      </c>
      <c r="AQ274">
        <v>0.62</v>
      </c>
      <c r="AR274" t="s">
        <v>69</v>
      </c>
      <c r="AS274">
        <v>14</v>
      </c>
      <c r="AT274">
        <v>3</v>
      </c>
      <c r="AU274">
        <v>2.2519999999999998E-2</v>
      </c>
      <c r="AV274">
        <v>-4.3800000000000002E-3</v>
      </c>
      <c r="AW274">
        <v>9.3560000000000004E-2</v>
      </c>
      <c r="AX274">
        <v>-1.9189999999999999E-2</v>
      </c>
      <c r="AY274">
        <v>5.2700000000000004E-3</v>
      </c>
      <c r="AZ274">
        <v>-1.25E-3</v>
      </c>
      <c r="BA274">
        <v>5.629E-2</v>
      </c>
      <c r="BB274">
        <v>1</v>
      </c>
      <c r="BC274" t="s">
        <v>70</v>
      </c>
      <c r="BD274">
        <v>0.75700000000000001</v>
      </c>
      <c r="BE274">
        <v>0.75700000000000001</v>
      </c>
      <c r="BF274" t="s">
        <v>71</v>
      </c>
      <c r="BG274">
        <v>0.16831683168316799</v>
      </c>
      <c r="BI274">
        <v>17</v>
      </c>
      <c r="BJ274">
        <v>5.629E-2</v>
      </c>
      <c r="BK274">
        <v>0.16831683168316799</v>
      </c>
    </row>
    <row r="275" spans="1:63">
      <c r="A275">
        <v>1571</v>
      </c>
      <c r="B275" t="s">
        <v>1644</v>
      </c>
      <c r="D275" t="s">
        <v>60</v>
      </c>
      <c r="E275">
        <v>1611321</v>
      </c>
      <c r="F275">
        <v>1611590</v>
      </c>
      <c r="G275" t="s">
        <v>74</v>
      </c>
      <c r="H275">
        <v>90</v>
      </c>
      <c r="I275" t="s">
        <v>63</v>
      </c>
      <c r="J275">
        <v>5</v>
      </c>
      <c r="K275" t="str">
        <f>HYPERLINK("Gene1571-zp_tree_all.dnd", "Gene1571-tree")</f>
        <v>Gene1571-tree</v>
      </c>
      <c r="L275">
        <v>4</v>
      </c>
      <c r="M275">
        <v>1</v>
      </c>
      <c r="N275">
        <v>4</v>
      </c>
      <c r="O275">
        <v>1</v>
      </c>
      <c r="P275">
        <v>0.2</v>
      </c>
      <c r="Q275" t="s">
        <v>64</v>
      </c>
      <c r="R275" t="s">
        <v>65</v>
      </c>
      <c r="S275" t="s">
        <v>66</v>
      </c>
      <c r="T275" t="s">
        <v>66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0</v>
      </c>
      <c r="AI275">
        <v>4</v>
      </c>
      <c r="AJ275">
        <v>2</v>
      </c>
      <c r="AK275">
        <v>9</v>
      </c>
      <c r="AL275">
        <v>1</v>
      </c>
      <c r="AM275">
        <v>7</v>
      </c>
      <c r="AN275">
        <v>0</v>
      </c>
      <c r="AO275" t="s">
        <v>1646</v>
      </c>
      <c r="AP275" t="s">
        <v>68</v>
      </c>
      <c r="AQ275">
        <v>0.56200000000000006</v>
      </c>
      <c r="AR275" t="s">
        <v>69</v>
      </c>
      <c r="AS275">
        <v>16</v>
      </c>
      <c r="AT275">
        <v>1</v>
      </c>
      <c r="AU275">
        <v>3.0370000000000001E-2</v>
      </c>
      <c r="AV275">
        <v>-4.7699999999999999E-3</v>
      </c>
      <c r="AW275">
        <v>0.13005</v>
      </c>
      <c r="AX275">
        <v>-2.291E-2</v>
      </c>
      <c r="AY275">
        <v>1.98E-3</v>
      </c>
      <c r="AZ275">
        <v>-7.3999999999999999E-4</v>
      </c>
      <c r="BA275">
        <v>1.52E-2</v>
      </c>
      <c r="BB275">
        <v>1</v>
      </c>
      <c r="BC275" t="s">
        <v>70</v>
      </c>
      <c r="BD275">
        <v>3.5999999999999997E-2</v>
      </c>
      <c r="BE275">
        <v>3.5999999999999997E-2</v>
      </c>
      <c r="BF275" t="s">
        <v>71</v>
      </c>
      <c r="BG275">
        <v>0</v>
      </c>
      <c r="BI275">
        <v>17</v>
      </c>
      <c r="BJ275">
        <v>1.52E-2</v>
      </c>
      <c r="BK275">
        <v>0</v>
      </c>
    </row>
    <row r="276" spans="1:63">
      <c r="A276">
        <v>1572</v>
      </c>
      <c r="B276" t="s">
        <v>1647</v>
      </c>
      <c r="D276" t="s">
        <v>60</v>
      </c>
      <c r="E276">
        <v>1611654</v>
      </c>
      <c r="F276">
        <v>1612424</v>
      </c>
      <c r="G276" t="s">
        <v>1649</v>
      </c>
      <c r="H276">
        <v>257</v>
      </c>
      <c r="I276" t="s">
        <v>63</v>
      </c>
      <c r="J276">
        <v>5</v>
      </c>
      <c r="K276" t="str">
        <f>HYPERLINK("Gene1572-zp_tree_all.dnd", "Gene1572-tree")</f>
        <v>Gene1572-tree</v>
      </c>
      <c r="L276">
        <v>1</v>
      </c>
      <c r="M276">
        <v>4</v>
      </c>
      <c r="N276">
        <v>1</v>
      </c>
      <c r="O276">
        <v>4</v>
      </c>
      <c r="P276">
        <v>0.8</v>
      </c>
      <c r="Q276" t="s">
        <v>65</v>
      </c>
      <c r="R276" t="s">
        <v>64</v>
      </c>
      <c r="S276" t="s">
        <v>66</v>
      </c>
      <c r="T276" t="s">
        <v>66</v>
      </c>
      <c r="U276">
        <v>1</v>
      </c>
      <c r="V276">
        <v>2</v>
      </c>
      <c r="W276">
        <v>10</v>
      </c>
      <c r="X276">
        <v>0.16667000000000001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2</v>
      </c>
      <c r="AF276">
        <v>2</v>
      </c>
      <c r="AG276">
        <v>10</v>
      </c>
      <c r="AH276">
        <v>0.16667000000000001</v>
      </c>
      <c r="AI276">
        <v>5</v>
      </c>
      <c r="AJ276">
        <v>2</v>
      </c>
      <c r="AK276">
        <v>39</v>
      </c>
      <c r="AL276">
        <v>9</v>
      </c>
      <c r="AM276">
        <v>16</v>
      </c>
      <c r="AN276">
        <v>3</v>
      </c>
      <c r="AO276" t="s">
        <v>1650</v>
      </c>
      <c r="AP276" t="s">
        <v>1651</v>
      </c>
      <c r="AQ276">
        <v>0.25600000000000001</v>
      </c>
      <c r="AR276" t="s">
        <v>69</v>
      </c>
      <c r="AS276">
        <v>55</v>
      </c>
      <c r="AT276">
        <v>12</v>
      </c>
      <c r="AU276">
        <v>3.7999999999999999E-2</v>
      </c>
      <c r="AV276">
        <v>-3.5699999999999998E-3</v>
      </c>
      <c r="AW276">
        <v>0.15135000000000001</v>
      </c>
      <c r="AX276">
        <v>-1.38E-2</v>
      </c>
      <c r="AY276">
        <v>8.9800000000000001E-3</v>
      </c>
      <c r="AZ276">
        <v>-1.3600000000000001E-3</v>
      </c>
      <c r="BA276">
        <v>5.9339999999999997E-2</v>
      </c>
      <c r="BB276">
        <v>1</v>
      </c>
      <c r="BC276" t="s">
        <v>70</v>
      </c>
      <c r="BD276">
        <v>5.0000000000000001E-3</v>
      </c>
      <c r="BE276">
        <v>-0.22700000000000001</v>
      </c>
      <c r="BF276" t="s">
        <v>71</v>
      </c>
      <c r="BG276">
        <v>0.11111111111111099</v>
      </c>
      <c r="BI276">
        <v>67</v>
      </c>
      <c r="BJ276">
        <v>5.9339999999999997E-2</v>
      </c>
      <c r="BK276">
        <v>0.11111111111111099</v>
      </c>
    </row>
    <row r="277" spans="1:63">
      <c r="A277">
        <v>1573</v>
      </c>
      <c r="B277" t="s">
        <v>1652</v>
      </c>
      <c r="D277" t="s">
        <v>60</v>
      </c>
      <c r="E277">
        <v>1612521</v>
      </c>
      <c r="F277">
        <v>1613012</v>
      </c>
      <c r="G277" t="s">
        <v>1654</v>
      </c>
      <c r="H277">
        <v>164</v>
      </c>
      <c r="I277" t="s">
        <v>63</v>
      </c>
      <c r="J277">
        <v>5</v>
      </c>
      <c r="K277" t="str">
        <f>HYPERLINK("Gene1573-zp_tree_all.dnd", "Gene1573-tree")</f>
        <v>Gene1573-tree</v>
      </c>
      <c r="L277">
        <v>5</v>
      </c>
      <c r="M277">
        <v>0</v>
      </c>
      <c r="N277">
        <v>5</v>
      </c>
      <c r="O277">
        <v>0</v>
      </c>
      <c r="P277">
        <v>0</v>
      </c>
      <c r="Q277" t="s">
        <v>96</v>
      </c>
      <c r="R277" t="s">
        <v>66</v>
      </c>
      <c r="S277" t="s">
        <v>66</v>
      </c>
      <c r="T277" t="s">
        <v>66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5</v>
      </c>
      <c r="AJ277">
        <v>2</v>
      </c>
      <c r="AK277">
        <v>14</v>
      </c>
      <c r="AL277">
        <v>0</v>
      </c>
      <c r="AM277">
        <v>15</v>
      </c>
      <c r="AN277">
        <v>0</v>
      </c>
      <c r="AO277" t="s">
        <v>68</v>
      </c>
      <c r="AP277" t="s">
        <v>68</v>
      </c>
      <c r="AQ277">
        <v>0</v>
      </c>
      <c r="AR277" t="s">
        <v>69</v>
      </c>
      <c r="AS277">
        <v>29</v>
      </c>
      <c r="AT277">
        <v>0</v>
      </c>
      <c r="AU277">
        <v>2.886E-2</v>
      </c>
      <c r="AV277">
        <v>-4.8300000000000001E-3</v>
      </c>
      <c r="AW277">
        <v>0.16125999999999999</v>
      </c>
      <c r="AX277">
        <v>-2.8850000000000001E-2</v>
      </c>
      <c r="AY277">
        <v>0</v>
      </c>
      <c r="AZ277">
        <v>0</v>
      </c>
      <c r="BA277">
        <v>0</v>
      </c>
      <c r="BB277">
        <v>1</v>
      </c>
      <c r="BC277" t="s">
        <v>70</v>
      </c>
      <c r="BD277">
        <v>0.71399999999999997</v>
      </c>
      <c r="BE277">
        <v>0.48299999999999998</v>
      </c>
      <c r="BF277" t="s">
        <v>71</v>
      </c>
      <c r="BG277">
        <v>0.13368983957219199</v>
      </c>
      <c r="BI277">
        <v>29</v>
      </c>
      <c r="BJ277">
        <v>0</v>
      </c>
      <c r="BK277">
        <v>0.13368983957219199</v>
      </c>
    </row>
    <row r="278" spans="1:63">
      <c r="A278">
        <v>1576</v>
      </c>
      <c r="B278" t="s">
        <v>1655</v>
      </c>
      <c r="D278" t="s">
        <v>60</v>
      </c>
      <c r="E278">
        <v>1616744</v>
      </c>
      <c r="F278">
        <v>1617205</v>
      </c>
      <c r="G278" t="s">
        <v>1657</v>
      </c>
      <c r="H278">
        <v>154</v>
      </c>
      <c r="I278" t="s">
        <v>63</v>
      </c>
      <c r="J278">
        <v>5</v>
      </c>
      <c r="K278" t="str">
        <f>HYPERLINK("Gene1576-zp_tree_all.dnd", "Gene1576-tree")</f>
        <v>Gene1576-tree</v>
      </c>
      <c r="L278">
        <v>4</v>
      </c>
      <c r="M278">
        <v>1</v>
      </c>
      <c r="N278">
        <v>4</v>
      </c>
      <c r="O278">
        <v>1</v>
      </c>
      <c r="P278">
        <v>0.2</v>
      </c>
      <c r="Q278" t="s">
        <v>64</v>
      </c>
      <c r="R278" t="s">
        <v>65</v>
      </c>
      <c r="S278" t="s">
        <v>66</v>
      </c>
      <c r="T278" t="s">
        <v>66</v>
      </c>
      <c r="U278">
        <v>0</v>
      </c>
      <c r="V278">
        <v>0</v>
      </c>
      <c r="W278">
        <v>2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  <c r="AI278">
        <v>3</v>
      </c>
      <c r="AJ278">
        <v>2</v>
      </c>
      <c r="AK278">
        <v>5</v>
      </c>
      <c r="AL278">
        <v>1</v>
      </c>
      <c r="AM278">
        <v>17</v>
      </c>
      <c r="AN278">
        <v>1</v>
      </c>
      <c r="AO278" t="s">
        <v>1658</v>
      </c>
      <c r="AP278" t="s">
        <v>1659</v>
      </c>
      <c r="AQ278">
        <v>0.58499999999999996</v>
      </c>
      <c r="AR278" t="s">
        <v>69</v>
      </c>
      <c r="AS278">
        <v>22</v>
      </c>
      <c r="AT278">
        <v>2</v>
      </c>
      <c r="AU278">
        <v>2.8570000000000002E-2</v>
      </c>
      <c r="AV278">
        <v>-6.0600000000000003E-3</v>
      </c>
      <c r="AW278">
        <v>0.12615000000000001</v>
      </c>
      <c r="AX278">
        <v>-2.7490000000000001E-2</v>
      </c>
      <c r="AY278">
        <v>2.8400000000000001E-3</v>
      </c>
      <c r="AZ278">
        <v>-6.9999999999999999E-4</v>
      </c>
      <c r="BA278">
        <v>2.2530000000000001E-2</v>
      </c>
      <c r="BB278">
        <v>1</v>
      </c>
      <c r="BC278" t="s">
        <v>70</v>
      </c>
      <c r="BD278">
        <v>1.0840000000000001</v>
      </c>
      <c r="BE278">
        <v>1.0840000000000001</v>
      </c>
      <c r="BF278" t="s">
        <v>71</v>
      </c>
      <c r="BG278">
        <v>8.3333333333333301E-2</v>
      </c>
      <c r="BI278">
        <v>24</v>
      </c>
      <c r="BJ278">
        <v>2.2530000000000001E-2</v>
      </c>
      <c r="BK278">
        <v>8.3333333333333301E-2</v>
      </c>
    </row>
    <row r="279" spans="1:63">
      <c r="A279">
        <v>1582</v>
      </c>
      <c r="B279" t="s">
        <v>1660</v>
      </c>
      <c r="D279" t="s">
        <v>60</v>
      </c>
      <c r="E279">
        <v>1622657</v>
      </c>
      <c r="F279">
        <v>1623748</v>
      </c>
      <c r="G279" t="s">
        <v>1662</v>
      </c>
      <c r="H279">
        <v>364</v>
      </c>
      <c r="I279" t="s">
        <v>85</v>
      </c>
      <c r="J279">
        <v>4</v>
      </c>
      <c r="K279" t="str">
        <f>HYPERLINK("Gene1582-zp_tree_all.dnd", "Gene1582-tree")</f>
        <v>Gene1582-tree</v>
      </c>
      <c r="L279">
        <v>2</v>
      </c>
      <c r="M279">
        <v>2</v>
      </c>
      <c r="N279">
        <v>2</v>
      </c>
      <c r="O279">
        <v>2</v>
      </c>
      <c r="P279">
        <v>0.5</v>
      </c>
      <c r="Q279" t="s">
        <v>124</v>
      </c>
      <c r="R279" t="s">
        <v>124</v>
      </c>
      <c r="S279" t="s">
        <v>66</v>
      </c>
      <c r="T279" t="s">
        <v>66</v>
      </c>
      <c r="U279">
        <v>0</v>
      </c>
      <c r="V279">
        <v>0</v>
      </c>
      <c r="W279">
        <v>6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6</v>
      </c>
      <c r="AH279">
        <v>0</v>
      </c>
      <c r="AI279">
        <v>4</v>
      </c>
      <c r="AJ279">
        <v>1</v>
      </c>
      <c r="AK279">
        <v>51</v>
      </c>
      <c r="AL279">
        <v>6</v>
      </c>
      <c r="AM279">
        <v>1</v>
      </c>
      <c r="AN279">
        <v>0</v>
      </c>
      <c r="AO279" t="s">
        <v>1663</v>
      </c>
      <c r="AP279" t="s">
        <v>68</v>
      </c>
      <c r="AQ279">
        <v>0.48699999999999999</v>
      </c>
      <c r="AR279" t="s">
        <v>69</v>
      </c>
      <c r="AS279">
        <v>52</v>
      </c>
      <c r="AT279">
        <v>6</v>
      </c>
      <c r="AU279">
        <v>2.6710000000000001E-2</v>
      </c>
      <c r="AV279">
        <v>-8.9200000000000008E-3</v>
      </c>
      <c r="AW279">
        <v>0.11700000000000001</v>
      </c>
      <c r="AX279">
        <v>-4.0230000000000002E-2</v>
      </c>
      <c r="AY279">
        <v>3.5999999999999999E-3</v>
      </c>
      <c r="AZ279">
        <v>-1.17E-3</v>
      </c>
      <c r="BA279">
        <v>3.074E-2</v>
      </c>
      <c r="BB279">
        <v>1</v>
      </c>
      <c r="BC279" t="s">
        <v>70</v>
      </c>
      <c r="BD279">
        <v>-0.81399999999999995</v>
      </c>
      <c r="BE279">
        <v>-0.81399999999999995</v>
      </c>
      <c r="BF279" t="s">
        <v>71</v>
      </c>
      <c r="BG279">
        <v>7.3170731707316999E-2</v>
      </c>
      <c r="BI279">
        <v>58</v>
      </c>
      <c r="BJ279">
        <v>3.074E-2</v>
      </c>
      <c r="BK279">
        <v>7.3170731707316999E-2</v>
      </c>
    </row>
    <row r="280" spans="1:63">
      <c r="A280">
        <v>1584</v>
      </c>
      <c r="B280" t="s">
        <v>1664</v>
      </c>
      <c r="D280" t="s">
        <v>60</v>
      </c>
      <c r="E280">
        <v>1626948</v>
      </c>
      <c r="F280">
        <v>1627715</v>
      </c>
      <c r="G280" t="s">
        <v>1666</v>
      </c>
      <c r="H280">
        <v>256</v>
      </c>
      <c r="I280" t="s">
        <v>85</v>
      </c>
      <c r="J280">
        <v>4</v>
      </c>
      <c r="K280" t="str">
        <f>HYPERLINK("Gene1584-zp_tree_all.dnd", "Gene1584-tree")</f>
        <v>Gene1584-tree</v>
      </c>
      <c r="L280">
        <v>0</v>
      </c>
      <c r="M280">
        <v>4</v>
      </c>
      <c r="N280">
        <v>0</v>
      </c>
      <c r="O280">
        <v>4</v>
      </c>
      <c r="P280">
        <v>1</v>
      </c>
      <c r="Q280" t="s">
        <v>66</v>
      </c>
      <c r="R280" t="s">
        <v>64</v>
      </c>
      <c r="S280" t="s">
        <v>66</v>
      </c>
      <c r="T280" t="s">
        <v>66</v>
      </c>
      <c r="U280">
        <v>0</v>
      </c>
      <c r="V280">
        <v>0</v>
      </c>
      <c r="W280">
        <v>10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10</v>
      </c>
      <c r="AH280">
        <v>0</v>
      </c>
      <c r="AI280">
        <v>4</v>
      </c>
      <c r="AJ280">
        <v>1</v>
      </c>
      <c r="AK280">
        <v>24</v>
      </c>
      <c r="AL280">
        <v>9</v>
      </c>
      <c r="AM280">
        <v>3</v>
      </c>
      <c r="AN280">
        <v>1</v>
      </c>
      <c r="AO280" t="s">
        <v>1667</v>
      </c>
      <c r="AP280" t="s">
        <v>1668</v>
      </c>
      <c r="AQ280">
        <v>3.6999999999999998E-2</v>
      </c>
      <c r="AR280" t="s">
        <v>69</v>
      </c>
      <c r="AS280">
        <v>27</v>
      </c>
      <c r="AT280">
        <v>10</v>
      </c>
      <c r="AU280">
        <v>2.496E-2</v>
      </c>
      <c r="AV280">
        <v>-6.3699999999999998E-3</v>
      </c>
      <c r="AW280">
        <v>8.4140000000000006E-2</v>
      </c>
      <c r="AX280">
        <v>-2.7130000000000001E-2</v>
      </c>
      <c r="AY280">
        <v>8.8699999999999994E-3</v>
      </c>
      <c r="AZ280">
        <v>-9.5E-4</v>
      </c>
      <c r="BA280">
        <v>0.10544000000000001</v>
      </c>
      <c r="BB280">
        <v>1</v>
      </c>
      <c r="BC280" t="s">
        <v>70</v>
      </c>
      <c r="BD280">
        <v>-0.52200000000000002</v>
      </c>
      <c r="BE280">
        <v>-0.52200000000000002</v>
      </c>
      <c r="BF280" t="s">
        <v>71</v>
      </c>
      <c r="BG280">
        <v>0.175202156334231</v>
      </c>
      <c r="BI280">
        <v>37</v>
      </c>
      <c r="BJ280">
        <v>0.10544000000000001</v>
      </c>
      <c r="BK280">
        <v>0.175202156334231</v>
      </c>
    </row>
    <row r="281" spans="1:63">
      <c r="A281">
        <v>1588</v>
      </c>
      <c r="B281" t="s">
        <v>1669</v>
      </c>
      <c r="D281" t="s">
        <v>60</v>
      </c>
      <c r="E281">
        <v>1630382</v>
      </c>
      <c r="F281">
        <v>1631080</v>
      </c>
      <c r="G281" t="s">
        <v>1671</v>
      </c>
      <c r="H281">
        <v>233</v>
      </c>
      <c r="I281" t="s">
        <v>63</v>
      </c>
      <c r="J281">
        <v>5</v>
      </c>
      <c r="K281" t="str">
        <f>HYPERLINK("Gene1588-zp_tree_all.dnd", "Gene1588-tree")</f>
        <v>Gene1588-tree</v>
      </c>
      <c r="L281">
        <v>4</v>
      </c>
      <c r="M281">
        <v>1</v>
      </c>
      <c r="N281">
        <v>4</v>
      </c>
      <c r="O281">
        <v>1</v>
      </c>
      <c r="P281">
        <v>0.2</v>
      </c>
      <c r="Q281" t="s">
        <v>64</v>
      </c>
      <c r="R281" t="s">
        <v>65</v>
      </c>
      <c r="S281" t="s">
        <v>66</v>
      </c>
      <c r="T281" t="s">
        <v>66</v>
      </c>
      <c r="U281">
        <v>0</v>
      </c>
      <c r="V281">
        <v>0</v>
      </c>
      <c r="W281">
        <v>2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2</v>
      </c>
      <c r="AH281">
        <v>0</v>
      </c>
      <c r="AI281">
        <v>5</v>
      </c>
      <c r="AJ281">
        <v>2</v>
      </c>
      <c r="AK281">
        <v>25</v>
      </c>
      <c r="AL281">
        <v>2</v>
      </c>
      <c r="AM281">
        <v>18</v>
      </c>
      <c r="AN281">
        <v>0</v>
      </c>
      <c r="AO281" t="s">
        <v>1672</v>
      </c>
      <c r="AP281" t="s">
        <v>68</v>
      </c>
      <c r="AQ281">
        <v>0.52600000000000002</v>
      </c>
      <c r="AR281" t="s">
        <v>69</v>
      </c>
      <c r="AS281">
        <v>43</v>
      </c>
      <c r="AT281">
        <v>2</v>
      </c>
      <c r="AU281">
        <v>2.9899999999999999E-2</v>
      </c>
      <c r="AV281">
        <v>-3.9199999999999999E-3</v>
      </c>
      <c r="AW281">
        <v>0.14333000000000001</v>
      </c>
      <c r="AX281">
        <v>-2.0920000000000001E-2</v>
      </c>
      <c r="AY281">
        <v>1.48E-3</v>
      </c>
      <c r="AZ281">
        <v>-4.4000000000000002E-4</v>
      </c>
      <c r="BA281">
        <v>1.0319999999999999E-2</v>
      </c>
      <c r="BB281">
        <v>1</v>
      </c>
      <c r="BC281" t="s">
        <v>70</v>
      </c>
      <c r="BD281">
        <v>0.27600000000000002</v>
      </c>
      <c r="BE281">
        <v>-0.06</v>
      </c>
      <c r="BF281" t="s">
        <v>71</v>
      </c>
      <c r="BG281">
        <v>7.5409836065573693E-2</v>
      </c>
      <c r="BI281">
        <v>45</v>
      </c>
      <c r="BJ281">
        <v>1.0319999999999999E-2</v>
      </c>
      <c r="BK281">
        <v>7.5409836065573693E-2</v>
      </c>
    </row>
    <row r="282" spans="1:63">
      <c r="A282">
        <v>1592</v>
      </c>
      <c r="B282" t="s">
        <v>1673</v>
      </c>
      <c r="D282" t="s">
        <v>60</v>
      </c>
      <c r="E282">
        <v>1634061</v>
      </c>
      <c r="F282">
        <v>1634831</v>
      </c>
      <c r="G282" t="s">
        <v>1675</v>
      </c>
      <c r="H282">
        <v>257</v>
      </c>
      <c r="I282" t="s">
        <v>63</v>
      </c>
      <c r="J282">
        <v>5</v>
      </c>
      <c r="K282" t="str">
        <f>HYPERLINK("Gene1592-zp_tree_all.dnd", "Gene1592-tree")</f>
        <v>Gene1592-tree</v>
      </c>
      <c r="L282">
        <v>0</v>
      </c>
      <c r="M282">
        <v>5</v>
      </c>
      <c r="N282">
        <v>0</v>
      </c>
      <c r="O282">
        <v>5</v>
      </c>
      <c r="P282">
        <v>1</v>
      </c>
      <c r="Q282" t="s">
        <v>66</v>
      </c>
      <c r="R282" t="s">
        <v>96</v>
      </c>
      <c r="S282" t="s">
        <v>66</v>
      </c>
      <c r="T282" t="s">
        <v>66</v>
      </c>
      <c r="U282">
        <v>1</v>
      </c>
      <c r="V282">
        <v>2</v>
      </c>
      <c r="W282">
        <v>9</v>
      </c>
      <c r="X282">
        <v>0.18182000000000001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2</v>
      </c>
      <c r="AE282">
        <v>0</v>
      </c>
      <c r="AF282">
        <v>2</v>
      </c>
      <c r="AG282">
        <v>9</v>
      </c>
      <c r="AH282">
        <v>0.18182000000000001</v>
      </c>
      <c r="AI282">
        <v>5</v>
      </c>
      <c r="AJ282">
        <v>2</v>
      </c>
      <c r="AK282">
        <v>35</v>
      </c>
      <c r="AL282">
        <v>9</v>
      </c>
      <c r="AM282">
        <v>11</v>
      </c>
      <c r="AN282">
        <v>3</v>
      </c>
      <c r="AO282" t="s">
        <v>1676</v>
      </c>
      <c r="AP282" t="s">
        <v>1677</v>
      </c>
      <c r="AQ282">
        <v>0.48099999999999998</v>
      </c>
      <c r="AR282" t="s">
        <v>69</v>
      </c>
      <c r="AS282">
        <v>46</v>
      </c>
      <c r="AT282">
        <v>12</v>
      </c>
      <c r="AU282">
        <v>3.1260000000000003E-2</v>
      </c>
      <c r="AV282">
        <v>-1.81E-3</v>
      </c>
      <c r="AW282">
        <v>0.11513</v>
      </c>
      <c r="AX282">
        <v>-6.9199999999999999E-3</v>
      </c>
      <c r="AY282">
        <v>8.8199999999999997E-3</v>
      </c>
      <c r="AZ282">
        <v>-9.6000000000000002E-4</v>
      </c>
      <c r="BA282">
        <v>7.6600000000000001E-2</v>
      </c>
      <c r="BB282">
        <v>1</v>
      </c>
      <c r="BC282" t="s">
        <v>70</v>
      </c>
      <c r="BD282">
        <v>-0.11700000000000001</v>
      </c>
      <c r="BE282">
        <v>-0.39500000000000002</v>
      </c>
      <c r="BF282" t="s">
        <v>71</v>
      </c>
      <c r="BG282">
        <v>0.17325227963525799</v>
      </c>
      <c r="BI282">
        <v>58</v>
      </c>
      <c r="BJ282">
        <v>7.6600000000000001E-2</v>
      </c>
      <c r="BK282">
        <v>0.17325227963525799</v>
      </c>
    </row>
    <row r="283" spans="1:63">
      <c r="A283">
        <v>1597</v>
      </c>
      <c r="B283" t="s">
        <v>1678</v>
      </c>
      <c r="D283" t="s">
        <v>60</v>
      </c>
      <c r="E283">
        <v>1640720</v>
      </c>
      <c r="F283">
        <v>1641592</v>
      </c>
      <c r="G283" t="s">
        <v>74</v>
      </c>
      <c r="H283">
        <v>291</v>
      </c>
      <c r="I283" t="s">
        <v>63</v>
      </c>
      <c r="J283">
        <v>5</v>
      </c>
      <c r="K283" t="str">
        <f>HYPERLINK("Gene1597-zp_tree_all.dnd", "Gene1597-tree")</f>
        <v>Gene1597-tree</v>
      </c>
      <c r="L283">
        <v>2</v>
      </c>
      <c r="M283">
        <v>3</v>
      </c>
      <c r="N283">
        <v>1</v>
      </c>
      <c r="O283">
        <v>3</v>
      </c>
      <c r="P283">
        <v>0.75</v>
      </c>
      <c r="Q283" t="s">
        <v>65</v>
      </c>
      <c r="R283" t="s">
        <v>86</v>
      </c>
      <c r="S283" t="s">
        <v>66</v>
      </c>
      <c r="T283" t="s">
        <v>66</v>
      </c>
      <c r="U283">
        <v>1</v>
      </c>
      <c r="V283">
        <v>2</v>
      </c>
      <c r="W283">
        <v>11</v>
      </c>
      <c r="X283">
        <v>0.15384999999999999</v>
      </c>
      <c r="Y283">
        <v>0</v>
      </c>
      <c r="Z283">
        <v>0</v>
      </c>
      <c r="AA283">
        <v>0</v>
      </c>
      <c r="AB283">
        <v>7</v>
      </c>
      <c r="AC283">
        <v>0</v>
      </c>
      <c r="AD283">
        <v>0</v>
      </c>
      <c r="AE283">
        <v>2</v>
      </c>
      <c r="AF283">
        <v>2</v>
      </c>
      <c r="AG283">
        <v>4</v>
      </c>
      <c r="AH283">
        <v>0.33333000000000002</v>
      </c>
      <c r="AI283">
        <v>4</v>
      </c>
      <c r="AJ283">
        <v>1</v>
      </c>
      <c r="AK283">
        <v>8</v>
      </c>
      <c r="AL283">
        <v>6</v>
      </c>
      <c r="AM283">
        <v>22</v>
      </c>
      <c r="AN283">
        <v>7</v>
      </c>
      <c r="AO283" t="s">
        <v>1680</v>
      </c>
      <c r="AP283" t="s">
        <v>1681</v>
      </c>
      <c r="AQ283">
        <v>0.91300000000000003</v>
      </c>
      <c r="AR283" t="s">
        <v>69</v>
      </c>
      <c r="AS283">
        <v>30</v>
      </c>
      <c r="AT283">
        <v>13</v>
      </c>
      <c r="AU283">
        <v>3.0159999999999999E-2</v>
      </c>
      <c r="AV283">
        <v>-6.5100000000000002E-3</v>
      </c>
      <c r="AW283">
        <v>0.1082</v>
      </c>
      <c r="AX283">
        <v>-2.5530000000000001E-2</v>
      </c>
      <c r="AY283">
        <v>1.132E-2</v>
      </c>
      <c r="AZ283">
        <v>-2.14E-3</v>
      </c>
      <c r="BA283">
        <v>0.10463</v>
      </c>
      <c r="BB283">
        <v>1</v>
      </c>
      <c r="BC283" t="s">
        <v>70</v>
      </c>
      <c r="BD283">
        <v>0.93400000000000005</v>
      </c>
      <c r="BE283">
        <v>0.93400000000000005</v>
      </c>
      <c r="BF283" t="s">
        <v>71</v>
      </c>
      <c r="BG283">
        <v>0.164948453608247</v>
      </c>
      <c r="BI283">
        <v>43</v>
      </c>
      <c r="BJ283">
        <v>0.10463</v>
      </c>
      <c r="BK283">
        <v>0.164948453608247</v>
      </c>
    </row>
    <row r="284" spans="1:63">
      <c r="A284">
        <v>1599</v>
      </c>
      <c r="B284" t="s">
        <v>1684</v>
      </c>
      <c r="D284" t="s">
        <v>60</v>
      </c>
      <c r="E284">
        <v>1641949</v>
      </c>
      <c r="F284">
        <v>1642560</v>
      </c>
      <c r="G284" t="s">
        <v>1686</v>
      </c>
      <c r="H284">
        <v>204</v>
      </c>
      <c r="I284" t="s">
        <v>63</v>
      </c>
      <c r="J284">
        <v>5</v>
      </c>
      <c r="K284" t="str">
        <f>HYPERLINK("Gene1599-zp_tree_all.dnd", "Gene1599-tree")</f>
        <v>Gene1599-tree</v>
      </c>
      <c r="L284">
        <v>4</v>
      </c>
      <c r="M284">
        <v>1</v>
      </c>
      <c r="N284">
        <v>4</v>
      </c>
      <c r="O284">
        <v>1</v>
      </c>
      <c r="P284">
        <v>0.2</v>
      </c>
      <c r="Q284" t="s">
        <v>64</v>
      </c>
      <c r="R284" t="s">
        <v>65</v>
      </c>
      <c r="S284" t="s">
        <v>66</v>
      </c>
      <c r="T284" t="s">
        <v>66</v>
      </c>
      <c r="U284">
        <v>0</v>
      </c>
      <c r="V284">
        <v>0</v>
      </c>
      <c r="W284">
        <v>3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2</v>
      </c>
      <c r="AH284">
        <v>0</v>
      </c>
      <c r="AI284">
        <v>4</v>
      </c>
      <c r="AJ284">
        <v>1</v>
      </c>
      <c r="AK284">
        <v>10</v>
      </c>
      <c r="AL284">
        <v>2</v>
      </c>
      <c r="AM284">
        <v>19</v>
      </c>
      <c r="AN284">
        <v>1</v>
      </c>
      <c r="AO284" t="s">
        <v>1687</v>
      </c>
      <c r="AP284" t="s">
        <v>1688</v>
      </c>
      <c r="AQ284">
        <v>0.47299999999999998</v>
      </c>
      <c r="AR284" t="s">
        <v>69</v>
      </c>
      <c r="AS284">
        <v>29</v>
      </c>
      <c r="AT284">
        <v>3</v>
      </c>
      <c r="AU284">
        <v>2.7289999999999998E-2</v>
      </c>
      <c r="AV284">
        <v>-5.4900000000000001E-3</v>
      </c>
      <c r="AW284">
        <v>0.12338</v>
      </c>
      <c r="AX284">
        <v>-2.554E-2</v>
      </c>
      <c r="AY284">
        <v>2.97E-3</v>
      </c>
      <c r="AZ284">
        <v>-8.0999999999999996E-4</v>
      </c>
      <c r="BA284">
        <v>2.4080000000000001E-2</v>
      </c>
      <c r="BB284">
        <v>1</v>
      </c>
      <c r="BC284" t="s">
        <v>70</v>
      </c>
      <c r="BD284">
        <v>0.91500000000000004</v>
      </c>
      <c r="BE284">
        <v>0.66400000000000003</v>
      </c>
      <c r="BF284" t="s">
        <v>71</v>
      </c>
      <c r="BG284">
        <v>0.15830115830115801</v>
      </c>
      <c r="BI284">
        <v>32</v>
      </c>
      <c r="BJ284">
        <v>2.4080000000000001E-2</v>
      </c>
      <c r="BK284">
        <v>0.15830115830115801</v>
      </c>
    </row>
    <row r="285" spans="1:63">
      <c r="A285">
        <v>1600</v>
      </c>
      <c r="B285" t="s">
        <v>1689</v>
      </c>
      <c r="D285" t="s">
        <v>60</v>
      </c>
      <c r="E285">
        <v>1642567</v>
      </c>
      <c r="F285">
        <v>1642767</v>
      </c>
      <c r="G285" t="s">
        <v>1691</v>
      </c>
      <c r="H285">
        <v>67</v>
      </c>
      <c r="I285" t="s">
        <v>63</v>
      </c>
      <c r="J285">
        <v>5</v>
      </c>
      <c r="K285" t="str">
        <f>HYPERLINK("Gene1600-zp_tree_all.dnd", "Gene1600-tree")</f>
        <v>Gene1600-tree</v>
      </c>
      <c r="L285">
        <v>5</v>
      </c>
      <c r="M285">
        <v>0</v>
      </c>
      <c r="N285">
        <v>4</v>
      </c>
      <c r="O285">
        <v>0</v>
      </c>
      <c r="P285">
        <v>0</v>
      </c>
      <c r="Q285" t="s">
        <v>135</v>
      </c>
      <c r="R285" t="s">
        <v>66</v>
      </c>
      <c r="S285" t="s">
        <v>66</v>
      </c>
      <c r="T285" t="s">
        <v>66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2</v>
      </c>
      <c r="AJ285">
        <v>1</v>
      </c>
      <c r="AK285">
        <v>4</v>
      </c>
      <c r="AL285">
        <v>0</v>
      </c>
      <c r="AM285">
        <v>5</v>
      </c>
      <c r="AN285">
        <v>0</v>
      </c>
      <c r="AO285" t="s">
        <v>68</v>
      </c>
      <c r="AP285" t="s">
        <v>68</v>
      </c>
      <c r="AQ285">
        <v>0</v>
      </c>
      <c r="AR285" t="s">
        <v>69</v>
      </c>
      <c r="AS285">
        <v>9</v>
      </c>
      <c r="AT285">
        <v>0</v>
      </c>
      <c r="AU285">
        <v>2.4879999999999999E-2</v>
      </c>
      <c r="AV285">
        <v>-4.6899999999999997E-3</v>
      </c>
      <c r="AW285">
        <v>0.12958</v>
      </c>
      <c r="AX285">
        <v>-2.5899999999999999E-2</v>
      </c>
      <c r="AY285">
        <v>0</v>
      </c>
      <c r="AZ285">
        <v>0</v>
      </c>
      <c r="BA285">
        <v>0</v>
      </c>
      <c r="BB285">
        <v>1</v>
      </c>
      <c r="BC285" t="s">
        <v>70</v>
      </c>
      <c r="BD285">
        <v>1.5780000000000001</v>
      </c>
      <c r="BE285">
        <v>0.66100000000000003</v>
      </c>
      <c r="BF285" t="s">
        <v>71</v>
      </c>
      <c r="BG285">
        <v>0.12</v>
      </c>
      <c r="BI285">
        <v>9</v>
      </c>
      <c r="BJ285">
        <v>0</v>
      </c>
      <c r="BK285">
        <v>0.12</v>
      </c>
    </row>
    <row r="286" spans="1:63">
      <c r="A286">
        <v>1606</v>
      </c>
      <c r="B286" t="s">
        <v>1692</v>
      </c>
      <c r="D286" t="s">
        <v>60</v>
      </c>
      <c r="E286">
        <v>1649286</v>
      </c>
      <c r="F286">
        <v>1650374</v>
      </c>
      <c r="G286" t="s">
        <v>1694</v>
      </c>
      <c r="H286">
        <v>363</v>
      </c>
      <c r="I286" t="s">
        <v>85</v>
      </c>
      <c r="J286">
        <v>4</v>
      </c>
      <c r="K286" t="str">
        <f>HYPERLINK("Gene1606-zp_tree_all.dnd", "Gene1606-tree")</f>
        <v>Gene1606-tree</v>
      </c>
      <c r="L286">
        <v>2</v>
      </c>
      <c r="M286">
        <v>2</v>
      </c>
      <c r="N286">
        <v>2</v>
      </c>
      <c r="O286">
        <v>2</v>
      </c>
      <c r="P286">
        <v>0.5</v>
      </c>
      <c r="Q286" t="s">
        <v>124</v>
      </c>
      <c r="R286" t="s">
        <v>124</v>
      </c>
      <c r="S286" t="s">
        <v>66</v>
      </c>
      <c r="T286" t="s">
        <v>66</v>
      </c>
      <c r="U286">
        <v>0</v>
      </c>
      <c r="V286">
        <v>0</v>
      </c>
      <c r="W286">
        <v>8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7</v>
      </c>
      <c r="AH286">
        <v>0</v>
      </c>
      <c r="AI286">
        <v>4</v>
      </c>
      <c r="AJ286">
        <v>1</v>
      </c>
      <c r="AK286">
        <v>55</v>
      </c>
      <c r="AL286">
        <v>7</v>
      </c>
      <c r="AM286">
        <v>5</v>
      </c>
      <c r="AN286">
        <v>1</v>
      </c>
      <c r="AO286" t="s">
        <v>1695</v>
      </c>
      <c r="AP286" t="s">
        <v>1696</v>
      </c>
      <c r="AQ286">
        <v>0.40400000000000003</v>
      </c>
      <c r="AR286" t="s">
        <v>69</v>
      </c>
      <c r="AS286">
        <v>60</v>
      </c>
      <c r="AT286">
        <v>8</v>
      </c>
      <c r="AU286">
        <v>3.1530000000000002E-2</v>
      </c>
      <c r="AV286">
        <v>-7.8200000000000006E-3</v>
      </c>
      <c r="AW286">
        <v>0.13925999999999999</v>
      </c>
      <c r="AX286">
        <v>-3.5880000000000002E-2</v>
      </c>
      <c r="AY286">
        <v>4.9699999999999996E-3</v>
      </c>
      <c r="AZ286">
        <v>-1.42E-3</v>
      </c>
      <c r="BA286">
        <v>3.5650000000000001E-2</v>
      </c>
      <c r="BB286">
        <v>1</v>
      </c>
      <c r="BC286" t="s">
        <v>70</v>
      </c>
      <c r="BD286">
        <v>-0.48299999999999998</v>
      </c>
      <c r="BE286">
        <v>-0.77300000000000002</v>
      </c>
      <c r="BF286" t="s">
        <v>71</v>
      </c>
      <c r="BG286">
        <v>6.1728395061728301E-2</v>
      </c>
      <c r="BI286">
        <v>68</v>
      </c>
      <c r="BJ286">
        <v>3.5650000000000001E-2</v>
      </c>
      <c r="BK286">
        <v>6.1728395061728301E-2</v>
      </c>
    </row>
    <row r="287" spans="1:63">
      <c r="A287">
        <v>1607</v>
      </c>
      <c r="B287" t="s">
        <v>1697</v>
      </c>
      <c r="D287" t="s">
        <v>60</v>
      </c>
      <c r="E287">
        <v>1650384</v>
      </c>
      <c r="F287">
        <v>1651145</v>
      </c>
      <c r="G287" t="s">
        <v>1699</v>
      </c>
      <c r="H287">
        <v>254</v>
      </c>
      <c r="I287" t="s">
        <v>63</v>
      </c>
      <c r="J287">
        <v>5</v>
      </c>
      <c r="K287" t="str">
        <f>HYPERLINK("Gene1607-zp_tree_all.dnd", "Gene1607-tree")</f>
        <v>Gene1607-tree</v>
      </c>
      <c r="L287">
        <v>3</v>
      </c>
      <c r="M287">
        <v>2</v>
      </c>
      <c r="N287">
        <v>3</v>
      </c>
      <c r="O287">
        <v>2</v>
      </c>
      <c r="P287">
        <v>0.4</v>
      </c>
      <c r="Q287" t="s">
        <v>86</v>
      </c>
      <c r="R287" t="s">
        <v>124</v>
      </c>
      <c r="S287" t="s">
        <v>66</v>
      </c>
      <c r="T287" t="s">
        <v>66</v>
      </c>
      <c r="U287">
        <v>0</v>
      </c>
      <c r="V287">
        <v>0</v>
      </c>
      <c r="W287">
        <v>11</v>
      </c>
      <c r="X287">
        <v>0</v>
      </c>
      <c r="Y287">
        <v>0</v>
      </c>
      <c r="Z287">
        <v>0</v>
      </c>
      <c r="AA287">
        <v>0</v>
      </c>
      <c r="AB287">
        <v>9</v>
      </c>
      <c r="AC287">
        <v>0</v>
      </c>
      <c r="AD287">
        <v>0</v>
      </c>
      <c r="AE287">
        <v>0</v>
      </c>
      <c r="AF287">
        <v>0</v>
      </c>
      <c r="AG287">
        <v>2</v>
      </c>
      <c r="AH287">
        <v>0</v>
      </c>
      <c r="AI287">
        <v>5</v>
      </c>
      <c r="AJ287">
        <v>2</v>
      </c>
      <c r="AK287">
        <v>18</v>
      </c>
      <c r="AL287">
        <v>2</v>
      </c>
      <c r="AM287">
        <v>17</v>
      </c>
      <c r="AN287">
        <v>10</v>
      </c>
      <c r="AO287" t="s">
        <v>1700</v>
      </c>
      <c r="AP287" t="s">
        <v>1701</v>
      </c>
      <c r="AQ287">
        <v>1.3839999999999999</v>
      </c>
      <c r="AR287" t="s">
        <v>69</v>
      </c>
      <c r="AS287">
        <v>35</v>
      </c>
      <c r="AT287">
        <v>12</v>
      </c>
      <c r="AU287">
        <v>3.0970000000000001E-2</v>
      </c>
      <c r="AV287">
        <v>-4.7000000000000002E-3</v>
      </c>
      <c r="AW287">
        <v>0.10874</v>
      </c>
      <c r="AX287">
        <v>-1.5630000000000002E-2</v>
      </c>
      <c r="AY287">
        <v>1.158E-2</v>
      </c>
      <c r="AZ287">
        <v>-1.8799999999999999E-3</v>
      </c>
      <c r="BA287">
        <v>0.10645</v>
      </c>
      <c r="BB287">
        <v>1</v>
      </c>
      <c r="BC287" t="s">
        <v>70</v>
      </c>
      <c r="BD287">
        <v>0.69799999999999995</v>
      </c>
      <c r="BE287">
        <v>0.55800000000000005</v>
      </c>
      <c r="BF287" t="s">
        <v>71</v>
      </c>
      <c r="BG287">
        <v>0.15850144092219001</v>
      </c>
      <c r="BI287">
        <v>47</v>
      </c>
      <c r="BJ287">
        <v>0.10645</v>
      </c>
      <c r="BK287">
        <v>0.15850144092219001</v>
      </c>
    </row>
    <row r="288" spans="1:63">
      <c r="A288">
        <v>1609</v>
      </c>
      <c r="B288" t="s">
        <v>1702</v>
      </c>
      <c r="D288" t="s">
        <v>60</v>
      </c>
      <c r="E288">
        <v>1653103</v>
      </c>
      <c r="F288">
        <v>1653996</v>
      </c>
      <c r="G288" t="s">
        <v>1704</v>
      </c>
      <c r="H288">
        <v>298</v>
      </c>
      <c r="I288" t="s">
        <v>63</v>
      </c>
      <c r="J288">
        <v>5</v>
      </c>
      <c r="K288" t="str">
        <f>HYPERLINK("Gene1609-zp_tree_all.dnd", "Gene1609-tree")</f>
        <v>Gene1609-tree</v>
      </c>
      <c r="L288">
        <v>2</v>
      </c>
      <c r="M288">
        <v>3</v>
      </c>
      <c r="N288">
        <v>2</v>
      </c>
      <c r="O288">
        <v>3</v>
      </c>
      <c r="P288">
        <v>0.6</v>
      </c>
      <c r="Q288" t="s">
        <v>124</v>
      </c>
      <c r="R288" t="s">
        <v>86</v>
      </c>
      <c r="S288" t="s">
        <v>66</v>
      </c>
      <c r="T288" t="s">
        <v>66</v>
      </c>
      <c r="U288">
        <v>0</v>
      </c>
      <c r="V288">
        <v>0</v>
      </c>
      <c r="W288">
        <v>9</v>
      </c>
      <c r="X288">
        <v>0</v>
      </c>
      <c r="Y288">
        <v>0</v>
      </c>
      <c r="Z288">
        <v>0</v>
      </c>
      <c r="AA288">
        <v>0</v>
      </c>
      <c r="AB288">
        <v>4</v>
      </c>
      <c r="AC288">
        <v>0</v>
      </c>
      <c r="AD288">
        <v>0</v>
      </c>
      <c r="AE288">
        <v>0</v>
      </c>
      <c r="AF288">
        <v>0</v>
      </c>
      <c r="AG288">
        <v>5</v>
      </c>
      <c r="AH288">
        <v>0</v>
      </c>
      <c r="AI288">
        <v>5</v>
      </c>
      <c r="AJ288">
        <v>2</v>
      </c>
      <c r="AK288">
        <v>25</v>
      </c>
      <c r="AL288">
        <v>5</v>
      </c>
      <c r="AM288">
        <v>27</v>
      </c>
      <c r="AN288">
        <v>4</v>
      </c>
      <c r="AO288" t="s">
        <v>1705</v>
      </c>
      <c r="AP288" t="s">
        <v>1706</v>
      </c>
      <c r="AQ288">
        <v>0.28699999999999998</v>
      </c>
      <c r="AR288" t="s">
        <v>69</v>
      </c>
      <c r="AS288">
        <v>52</v>
      </c>
      <c r="AT288">
        <v>9</v>
      </c>
      <c r="AU288">
        <v>3.1989999999999998E-2</v>
      </c>
      <c r="AV288">
        <v>-4.9300000000000004E-3</v>
      </c>
      <c r="AW288">
        <v>0.13392000000000001</v>
      </c>
      <c r="AX288">
        <v>-2.1329999999999998E-2</v>
      </c>
      <c r="AY288">
        <v>6.3899999999999998E-3</v>
      </c>
      <c r="AZ288">
        <v>-1.17E-3</v>
      </c>
      <c r="BA288">
        <v>4.7719999999999999E-2</v>
      </c>
      <c r="BB288">
        <v>1</v>
      </c>
      <c r="BC288" t="s">
        <v>70</v>
      </c>
      <c r="BD288">
        <v>0.63</v>
      </c>
      <c r="BE288">
        <v>0.22900000000000001</v>
      </c>
      <c r="BF288" t="s">
        <v>71</v>
      </c>
      <c r="BG288">
        <v>8.3969465648854894E-2</v>
      </c>
      <c r="BI288">
        <v>61</v>
      </c>
      <c r="BJ288">
        <v>4.7719999999999999E-2</v>
      </c>
      <c r="BK288">
        <v>8.3969465648854894E-2</v>
      </c>
    </row>
    <row r="289" spans="1:63">
      <c r="A289">
        <v>1614</v>
      </c>
      <c r="B289" t="s">
        <v>1713</v>
      </c>
      <c r="D289" t="s">
        <v>60</v>
      </c>
      <c r="E289">
        <v>1656064</v>
      </c>
      <c r="F289">
        <v>1656423</v>
      </c>
      <c r="G289" t="s">
        <v>74</v>
      </c>
      <c r="H289">
        <v>120</v>
      </c>
      <c r="I289" t="s">
        <v>63</v>
      </c>
      <c r="J289">
        <v>5</v>
      </c>
      <c r="K289" t="str">
        <f>HYPERLINK("Gene1614-zp_tree_all.dnd", "Gene1614-tree")</f>
        <v>Gene1614-tree</v>
      </c>
      <c r="L289">
        <v>5</v>
      </c>
      <c r="M289">
        <v>0</v>
      </c>
      <c r="N289">
        <v>4</v>
      </c>
      <c r="O289">
        <v>0</v>
      </c>
      <c r="P289">
        <v>0</v>
      </c>
      <c r="Q289" t="s">
        <v>135</v>
      </c>
      <c r="R289" t="s">
        <v>66</v>
      </c>
      <c r="S289" t="s">
        <v>66</v>
      </c>
      <c r="T289" t="s">
        <v>66</v>
      </c>
      <c r="U289">
        <v>0</v>
      </c>
      <c r="V289">
        <v>0</v>
      </c>
      <c r="W289">
        <v>2</v>
      </c>
      <c r="X289">
        <v>0</v>
      </c>
      <c r="Y289">
        <v>0</v>
      </c>
      <c r="Z289">
        <v>0</v>
      </c>
      <c r="AA289">
        <v>0</v>
      </c>
      <c r="AB289">
        <v>2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3</v>
      </c>
      <c r="AJ289">
        <v>1</v>
      </c>
      <c r="AK289">
        <v>4</v>
      </c>
      <c r="AL289">
        <v>0</v>
      </c>
      <c r="AM289">
        <v>7</v>
      </c>
      <c r="AN289">
        <v>2</v>
      </c>
      <c r="AO289" t="s">
        <v>68</v>
      </c>
      <c r="AP289" t="s">
        <v>1715</v>
      </c>
      <c r="AQ289">
        <v>0</v>
      </c>
      <c r="AR289" t="s">
        <v>69</v>
      </c>
      <c r="AS289">
        <v>11</v>
      </c>
      <c r="AT289">
        <v>2</v>
      </c>
      <c r="AU289">
        <v>2.222E-2</v>
      </c>
      <c r="AV289">
        <v>-4.8999999999999998E-3</v>
      </c>
      <c r="AW289">
        <v>8.4320000000000006E-2</v>
      </c>
      <c r="AX289">
        <v>-1.7930000000000001E-2</v>
      </c>
      <c r="AY289">
        <v>4.8700000000000002E-3</v>
      </c>
      <c r="AZ289">
        <v>-1.15E-3</v>
      </c>
      <c r="BA289">
        <v>5.7750000000000003E-2</v>
      </c>
      <c r="BB289">
        <v>0.99</v>
      </c>
      <c r="BC289" t="s">
        <v>70</v>
      </c>
      <c r="BD289">
        <v>0.88500000000000001</v>
      </c>
      <c r="BE289">
        <v>0.88500000000000001</v>
      </c>
      <c r="BF289" t="s">
        <v>71</v>
      </c>
      <c r="BG289">
        <v>0.13043478260869501</v>
      </c>
      <c r="BI289">
        <v>13</v>
      </c>
      <c r="BJ289">
        <v>5.7750000000000003E-2</v>
      </c>
      <c r="BK289">
        <v>0.13043478260869501</v>
      </c>
    </row>
    <row r="290" spans="1:63">
      <c r="A290">
        <v>1616</v>
      </c>
      <c r="B290" t="s">
        <v>1716</v>
      </c>
      <c r="D290" t="s">
        <v>60</v>
      </c>
      <c r="E290">
        <v>1658242</v>
      </c>
      <c r="F290">
        <v>1658901</v>
      </c>
      <c r="G290" t="s">
        <v>1718</v>
      </c>
      <c r="H290">
        <v>220</v>
      </c>
      <c r="I290" t="s">
        <v>63</v>
      </c>
      <c r="J290">
        <v>5</v>
      </c>
      <c r="K290" t="str">
        <f>HYPERLINK("Gene1616-zp_tree_all.dnd", "Gene1616-tree")</f>
        <v>Gene1616-tree</v>
      </c>
      <c r="L290">
        <v>3</v>
      </c>
      <c r="M290">
        <v>2</v>
      </c>
      <c r="N290">
        <v>3</v>
      </c>
      <c r="O290">
        <v>2</v>
      </c>
      <c r="P290">
        <v>0.4</v>
      </c>
      <c r="Q290" t="s">
        <v>86</v>
      </c>
      <c r="R290" t="s">
        <v>124</v>
      </c>
      <c r="S290" t="s">
        <v>66</v>
      </c>
      <c r="T290" t="s">
        <v>66</v>
      </c>
      <c r="U290">
        <v>0</v>
      </c>
      <c r="V290">
        <v>0</v>
      </c>
      <c r="W290">
        <v>4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4</v>
      </c>
      <c r="AH290">
        <v>0</v>
      </c>
      <c r="AI290">
        <v>5</v>
      </c>
      <c r="AJ290">
        <v>2</v>
      </c>
      <c r="AK290">
        <v>27</v>
      </c>
      <c r="AL290">
        <v>2</v>
      </c>
      <c r="AM290">
        <v>17</v>
      </c>
      <c r="AN290">
        <v>2</v>
      </c>
      <c r="AO290" t="s">
        <v>1719</v>
      </c>
      <c r="AP290" t="s">
        <v>1720</v>
      </c>
      <c r="AQ290">
        <v>0.27900000000000003</v>
      </c>
      <c r="AR290" t="s">
        <v>69</v>
      </c>
      <c r="AS290">
        <v>44</v>
      </c>
      <c r="AT290">
        <v>4</v>
      </c>
      <c r="AU290">
        <v>3.3939999999999998E-2</v>
      </c>
      <c r="AV290">
        <v>-5.4099999999999999E-3</v>
      </c>
      <c r="AW290">
        <v>0.14878</v>
      </c>
      <c r="AX290">
        <v>-2.4049999999999998E-2</v>
      </c>
      <c r="AY290">
        <v>3.9699999999999996E-3</v>
      </c>
      <c r="AZ290">
        <v>-8.4000000000000003E-4</v>
      </c>
      <c r="BA290">
        <v>2.6710000000000001E-2</v>
      </c>
      <c r="BB290">
        <v>1</v>
      </c>
      <c r="BC290" t="s">
        <v>70</v>
      </c>
      <c r="BD290">
        <v>0.109</v>
      </c>
      <c r="BE290">
        <v>0.109</v>
      </c>
      <c r="BF290" t="s">
        <v>71</v>
      </c>
      <c r="BG290">
        <v>0.14569536423841001</v>
      </c>
      <c r="BI290">
        <v>48</v>
      </c>
      <c r="BJ290">
        <v>2.6710000000000001E-2</v>
      </c>
      <c r="BK290">
        <v>0.14569536423841001</v>
      </c>
    </row>
    <row r="291" spans="1:63">
      <c r="A291">
        <v>1619</v>
      </c>
      <c r="B291" t="s">
        <v>1721</v>
      </c>
      <c r="D291" t="s">
        <v>60</v>
      </c>
      <c r="E291">
        <v>1661967</v>
      </c>
      <c r="F291">
        <v>1662530</v>
      </c>
      <c r="G291" t="s">
        <v>1723</v>
      </c>
      <c r="H291">
        <v>188</v>
      </c>
      <c r="I291" t="s">
        <v>63</v>
      </c>
      <c r="J291">
        <v>5</v>
      </c>
      <c r="K291" t="str">
        <f>HYPERLINK("Gene1619-zp_tree_all.dnd", "Gene1619-tree")</f>
        <v>Gene1619-tree</v>
      </c>
      <c r="L291">
        <v>4</v>
      </c>
      <c r="M291">
        <v>1</v>
      </c>
      <c r="N291">
        <v>4</v>
      </c>
      <c r="O291">
        <v>1</v>
      </c>
      <c r="P291">
        <v>0.2</v>
      </c>
      <c r="Q291" t="s">
        <v>64</v>
      </c>
      <c r="R291" t="s">
        <v>65</v>
      </c>
      <c r="S291" t="s">
        <v>66</v>
      </c>
      <c r="T291" t="s">
        <v>66</v>
      </c>
      <c r="U291">
        <v>0</v>
      </c>
      <c r="V291">
        <v>0</v>
      </c>
      <c r="W291">
        <v>2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5</v>
      </c>
      <c r="AJ291">
        <v>2</v>
      </c>
      <c r="AK291">
        <v>17</v>
      </c>
      <c r="AL291">
        <v>1</v>
      </c>
      <c r="AM291">
        <v>18</v>
      </c>
      <c r="AN291">
        <v>1</v>
      </c>
      <c r="AO291" t="s">
        <v>1724</v>
      </c>
      <c r="AP291" t="s">
        <v>1725</v>
      </c>
      <c r="AQ291">
        <v>3.5999999999999997E-2</v>
      </c>
      <c r="AR291" t="s">
        <v>69</v>
      </c>
      <c r="AS291">
        <v>35</v>
      </c>
      <c r="AT291">
        <v>2</v>
      </c>
      <c r="AU291">
        <v>2.9610000000000001E-2</v>
      </c>
      <c r="AV291">
        <v>-4.3400000000000001E-3</v>
      </c>
      <c r="AW291">
        <v>0.13852999999999999</v>
      </c>
      <c r="AX291">
        <v>-2.0979999999999999E-2</v>
      </c>
      <c r="AY291">
        <v>2.2899999999999999E-3</v>
      </c>
      <c r="AZ291">
        <v>-5.5999999999999995E-4</v>
      </c>
      <c r="BA291">
        <v>1.6539999999999999E-2</v>
      </c>
      <c r="BB291">
        <v>1</v>
      </c>
      <c r="BC291" t="s">
        <v>70</v>
      </c>
      <c r="BD291">
        <v>0.91500000000000004</v>
      </c>
      <c r="BE291">
        <v>0.161</v>
      </c>
      <c r="BF291" t="s">
        <v>71</v>
      </c>
      <c r="BG291">
        <v>0.17460317460317401</v>
      </c>
      <c r="BI291">
        <v>37</v>
      </c>
      <c r="BJ291">
        <v>1.6539999999999999E-2</v>
      </c>
      <c r="BK291">
        <v>0.17460317460317401</v>
      </c>
    </row>
    <row r="292" spans="1:63">
      <c r="A292">
        <v>1620</v>
      </c>
      <c r="B292" t="s">
        <v>1726</v>
      </c>
      <c r="D292" t="s">
        <v>60</v>
      </c>
      <c r="E292">
        <v>1662547</v>
      </c>
      <c r="F292">
        <v>1663545</v>
      </c>
      <c r="G292" t="s">
        <v>1728</v>
      </c>
      <c r="H292">
        <v>333</v>
      </c>
      <c r="I292" t="s">
        <v>63</v>
      </c>
      <c r="J292">
        <v>5</v>
      </c>
      <c r="K292" t="str">
        <f>HYPERLINK("Gene1620-zp_tree_all.dnd", "Gene1620-tree")</f>
        <v>Gene1620-tree</v>
      </c>
      <c r="L292">
        <v>3</v>
      </c>
      <c r="M292">
        <v>2</v>
      </c>
      <c r="N292">
        <v>3</v>
      </c>
      <c r="O292">
        <v>2</v>
      </c>
      <c r="P292">
        <v>0.4</v>
      </c>
      <c r="Q292" t="s">
        <v>86</v>
      </c>
      <c r="R292" t="s">
        <v>124</v>
      </c>
      <c r="S292" t="s">
        <v>66</v>
      </c>
      <c r="T292" t="s">
        <v>66</v>
      </c>
      <c r="U292">
        <v>0</v>
      </c>
      <c r="V292">
        <v>0</v>
      </c>
      <c r="W292">
        <v>6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6</v>
      </c>
      <c r="AH292">
        <v>0</v>
      </c>
      <c r="AI292">
        <v>5</v>
      </c>
      <c r="AJ292">
        <v>2</v>
      </c>
      <c r="AK292">
        <v>21</v>
      </c>
      <c r="AL292">
        <v>3</v>
      </c>
      <c r="AM292">
        <v>28</v>
      </c>
      <c r="AN292">
        <v>4</v>
      </c>
      <c r="AO292" t="s">
        <v>1729</v>
      </c>
      <c r="AP292" t="s">
        <v>1730</v>
      </c>
      <c r="AQ292">
        <v>3.6999999999999998E-2</v>
      </c>
      <c r="AR292" t="s">
        <v>69</v>
      </c>
      <c r="AS292">
        <v>49</v>
      </c>
      <c r="AT292">
        <v>7</v>
      </c>
      <c r="AU292">
        <v>2.8129999999999999E-2</v>
      </c>
      <c r="AV292">
        <v>-4.64E-3</v>
      </c>
      <c r="AW292">
        <v>0.11343</v>
      </c>
      <c r="AX292">
        <v>-1.8769999999999998E-2</v>
      </c>
      <c r="AY292">
        <v>4.7499999999999999E-3</v>
      </c>
      <c r="AZ292">
        <v>-1.0399999999999999E-3</v>
      </c>
      <c r="BA292">
        <v>4.1860000000000001E-2</v>
      </c>
      <c r="BB292">
        <v>1</v>
      </c>
      <c r="BC292" t="s">
        <v>70</v>
      </c>
      <c r="BD292">
        <v>0.63500000000000001</v>
      </c>
      <c r="BE292">
        <v>0.49</v>
      </c>
      <c r="BF292" t="s">
        <v>71</v>
      </c>
      <c r="BG292">
        <v>0.123348017621145</v>
      </c>
      <c r="BI292">
        <v>56</v>
      </c>
      <c r="BJ292">
        <v>4.1860000000000001E-2</v>
      </c>
      <c r="BK292">
        <v>0.123348017621145</v>
      </c>
    </row>
    <row r="293" spans="1:63">
      <c r="A293">
        <v>1624</v>
      </c>
      <c r="B293" t="s">
        <v>1734</v>
      </c>
      <c r="D293" t="s">
        <v>60</v>
      </c>
      <c r="E293">
        <v>1665710</v>
      </c>
      <c r="F293">
        <v>1666456</v>
      </c>
      <c r="G293" t="s">
        <v>1736</v>
      </c>
      <c r="H293">
        <v>249</v>
      </c>
      <c r="I293" t="s">
        <v>63</v>
      </c>
      <c r="J293">
        <v>5</v>
      </c>
      <c r="K293" t="str">
        <f>HYPERLINK("Gene1624-zp_tree_all.dnd", "Gene1624-tree")</f>
        <v>Gene1624-tree</v>
      </c>
      <c r="L293">
        <v>4</v>
      </c>
      <c r="M293">
        <v>1</v>
      </c>
      <c r="N293">
        <v>3</v>
      </c>
      <c r="O293">
        <v>1</v>
      </c>
      <c r="P293">
        <v>0.25</v>
      </c>
      <c r="Q293" t="s">
        <v>112</v>
      </c>
      <c r="R293" t="s">
        <v>65</v>
      </c>
      <c r="S293" t="s">
        <v>66</v>
      </c>
      <c r="T293" t="s">
        <v>66</v>
      </c>
      <c r="U293">
        <v>0</v>
      </c>
      <c r="V293">
        <v>0</v>
      </c>
      <c r="W293">
        <v>2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0</v>
      </c>
      <c r="AI293">
        <v>3</v>
      </c>
      <c r="AJ293">
        <v>1</v>
      </c>
      <c r="AK293">
        <v>14</v>
      </c>
      <c r="AL293">
        <v>1</v>
      </c>
      <c r="AM293">
        <v>16</v>
      </c>
      <c r="AN293">
        <v>1</v>
      </c>
      <c r="AO293" t="s">
        <v>1737</v>
      </c>
      <c r="AP293" t="s">
        <v>1738</v>
      </c>
      <c r="AQ293">
        <v>0.121</v>
      </c>
      <c r="AR293" t="s">
        <v>69</v>
      </c>
      <c r="AS293">
        <v>30</v>
      </c>
      <c r="AT293">
        <v>2</v>
      </c>
      <c r="AU293">
        <v>2.477E-2</v>
      </c>
      <c r="AV293">
        <v>-4.7299999999999998E-3</v>
      </c>
      <c r="AW293">
        <v>0.11638999999999999</v>
      </c>
      <c r="AX293">
        <v>-2.257E-2</v>
      </c>
      <c r="AY293">
        <v>2E-3</v>
      </c>
      <c r="AZ293">
        <v>-3.5E-4</v>
      </c>
      <c r="BA293">
        <v>1.721E-2</v>
      </c>
      <c r="BB293">
        <v>1</v>
      </c>
      <c r="BC293" t="s">
        <v>70</v>
      </c>
      <c r="BD293">
        <v>0.56299999999999994</v>
      </c>
      <c r="BE293">
        <v>0.56299999999999994</v>
      </c>
      <c r="BF293" t="s">
        <v>71</v>
      </c>
      <c r="BG293">
        <v>9.2651757188498399E-2</v>
      </c>
      <c r="BI293">
        <v>32</v>
      </c>
      <c r="BJ293">
        <v>1.721E-2</v>
      </c>
      <c r="BK293">
        <v>9.2651757188498399E-2</v>
      </c>
    </row>
    <row r="294" spans="1:63">
      <c r="A294">
        <v>1628</v>
      </c>
      <c r="B294" t="s">
        <v>1739</v>
      </c>
      <c r="D294" t="s">
        <v>60</v>
      </c>
      <c r="E294">
        <v>1671828</v>
      </c>
      <c r="F294">
        <v>1672157</v>
      </c>
      <c r="G294" t="s">
        <v>74</v>
      </c>
      <c r="H294">
        <v>110</v>
      </c>
      <c r="I294" t="s">
        <v>63</v>
      </c>
      <c r="J294">
        <v>5</v>
      </c>
      <c r="K294" t="str">
        <f>HYPERLINK("Gene1628-zp_tree_all.dnd", "Gene1628-tree")</f>
        <v>Gene1628-tree</v>
      </c>
      <c r="L294">
        <v>4</v>
      </c>
      <c r="M294">
        <v>1</v>
      </c>
      <c r="N294">
        <v>3</v>
      </c>
      <c r="O294">
        <v>1</v>
      </c>
      <c r="P294">
        <v>0.25</v>
      </c>
      <c r="Q294" t="s">
        <v>112</v>
      </c>
      <c r="R294" t="s">
        <v>65</v>
      </c>
      <c r="S294" t="s">
        <v>66</v>
      </c>
      <c r="T294" t="s">
        <v>66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3</v>
      </c>
      <c r="AJ294">
        <v>1</v>
      </c>
      <c r="AK294">
        <v>3</v>
      </c>
      <c r="AL294">
        <v>1</v>
      </c>
      <c r="AM294">
        <v>1</v>
      </c>
      <c r="AN294">
        <v>0</v>
      </c>
      <c r="AO294" t="s">
        <v>1741</v>
      </c>
      <c r="AP294" t="s">
        <v>68</v>
      </c>
      <c r="AQ294">
        <v>0.86599999999999999</v>
      </c>
      <c r="AR294" t="s">
        <v>69</v>
      </c>
      <c r="AS294">
        <v>4</v>
      </c>
      <c r="AT294">
        <v>1</v>
      </c>
      <c r="AU294">
        <v>8.0800000000000004E-3</v>
      </c>
      <c r="AV294">
        <v>-1.17E-3</v>
      </c>
      <c r="AW294">
        <v>3.1530000000000002E-2</v>
      </c>
      <c r="AX294">
        <v>-4.15E-3</v>
      </c>
      <c r="AY294">
        <v>1.9300000000000001E-3</v>
      </c>
      <c r="AZ294">
        <v>-7.9000000000000001E-4</v>
      </c>
      <c r="BA294">
        <v>6.1240000000000003E-2</v>
      </c>
      <c r="BB294">
        <v>1</v>
      </c>
      <c r="BC294" t="s">
        <v>70</v>
      </c>
      <c r="BD294">
        <v>0</v>
      </c>
      <c r="BE294">
        <v>0</v>
      </c>
      <c r="BF294" t="s">
        <v>71</v>
      </c>
      <c r="BG294">
        <v>0.203252032520325</v>
      </c>
      <c r="BI294">
        <v>5</v>
      </c>
      <c r="BJ294">
        <v>6.1240000000000003E-2</v>
      </c>
      <c r="BK294">
        <v>0.203252032520325</v>
      </c>
    </row>
    <row r="295" spans="1:63">
      <c r="A295">
        <v>1629</v>
      </c>
      <c r="B295" t="s">
        <v>1742</v>
      </c>
      <c r="D295" t="s">
        <v>60</v>
      </c>
      <c r="E295">
        <v>1672174</v>
      </c>
      <c r="F295">
        <v>1673511</v>
      </c>
      <c r="G295" t="s">
        <v>1744</v>
      </c>
      <c r="H295">
        <v>446</v>
      </c>
      <c r="I295" t="s">
        <v>63</v>
      </c>
      <c r="J295">
        <v>5</v>
      </c>
      <c r="K295" t="str">
        <f>HYPERLINK("Gene1629-zp_tree_all.dnd", "Gene1629-tree")</f>
        <v>Gene1629-tree</v>
      </c>
      <c r="L295">
        <v>4</v>
      </c>
      <c r="M295">
        <v>1</v>
      </c>
      <c r="N295">
        <v>4</v>
      </c>
      <c r="O295">
        <v>1</v>
      </c>
      <c r="P295">
        <v>0.2</v>
      </c>
      <c r="Q295" t="s">
        <v>64</v>
      </c>
      <c r="R295" t="s">
        <v>65</v>
      </c>
      <c r="S295" t="s">
        <v>66</v>
      </c>
      <c r="T295" t="s">
        <v>66</v>
      </c>
      <c r="U295">
        <v>0</v>
      </c>
      <c r="V295">
        <v>0</v>
      </c>
      <c r="W295">
        <v>3</v>
      </c>
      <c r="X295">
        <v>0</v>
      </c>
      <c r="Y295">
        <v>0</v>
      </c>
      <c r="Z295">
        <v>0</v>
      </c>
      <c r="AA295">
        <v>0</v>
      </c>
      <c r="AB295">
        <v>2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0</v>
      </c>
      <c r="AI295">
        <v>5</v>
      </c>
      <c r="AJ295">
        <v>2</v>
      </c>
      <c r="AK295">
        <v>42</v>
      </c>
      <c r="AL295">
        <v>1</v>
      </c>
      <c r="AM295">
        <v>26</v>
      </c>
      <c r="AN295">
        <v>2</v>
      </c>
      <c r="AO295" t="s">
        <v>1745</v>
      </c>
      <c r="AP295" t="s">
        <v>1746</v>
      </c>
      <c r="AQ295">
        <v>0.58499999999999996</v>
      </c>
      <c r="AR295" t="s">
        <v>69</v>
      </c>
      <c r="AS295">
        <v>68</v>
      </c>
      <c r="AT295">
        <v>3</v>
      </c>
      <c r="AU295">
        <v>2.436E-2</v>
      </c>
      <c r="AV295">
        <v>-3.5599999999999998E-3</v>
      </c>
      <c r="AW295">
        <v>0.11519</v>
      </c>
      <c r="AX295">
        <v>-1.796E-2</v>
      </c>
      <c r="AY295">
        <v>1.6299999999999999E-3</v>
      </c>
      <c r="AZ295">
        <v>-3.1E-4</v>
      </c>
      <c r="BA295">
        <v>1.4160000000000001E-2</v>
      </c>
      <c r="BB295">
        <v>1</v>
      </c>
      <c r="BC295" t="s">
        <v>70</v>
      </c>
      <c r="BD295">
        <v>0.22</v>
      </c>
      <c r="BE295">
        <v>-0.115</v>
      </c>
      <c r="BF295" t="s">
        <v>71</v>
      </c>
      <c r="BG295">
        <v>0.137876386687797</v>
      </c>
      <c r="BI295">
        <v>71</v>
      </c>
      <c r="BJ295">
        <v>1.4160000000000001E-2</v>
      </c>
      <c r="BK295">
        <v>0.137876386687797</v>
      </c>
    </row>
    <row r="296" spans="1:63">
      <c r="A296">
        <v>1630</v>
      </c>
      <c r="B296" t="s">
        <v>1747</v>
      </c>
      <c r="D296" t="s">
        <v>60</v>
      </c>
      <c r="E296">
        <v>1673620</v>
      </c>
      <c r="F296">
        <v>1673889</v>
      </c>
      <c r="G296" t="s">
        <v>1749</v>
      </c>
      <c r="H296">
        <v>90</v>
      </c>
      <c r="I296" t="s">
        <v>63</v>
      </c>
      <c r="J296">
        <v>5</v>
      </c>
      <c r="K296" t="str">
        <f>HYPERLINK("Gene1630-zp_tree_all.dnd", "Gene1630-tree")</f>
        <v>Gene1630-tree</v>
      </c>
      <c r="L296">
        <v>5</v>
      </c>
      <c r="M296">
        <v>0</v>
      </c>
      <c r="N296">
        <v>4</v>
      </c>
      <c r="O296">
        <v>0</v>
      </c>
      <c r="P296">
        <v>0</v>
      </c>
      <c r="Q296" t="s">
        <v>135</v>
      </c>
      <c r="R296" t="s">
        <v>66</v>
      </c>
      <c r="S296" t="s">
        <v>66</v>
      </c>
      <c r="T296" t="s">
        <v>66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2</v>
      </c>
      <c r="AJ296">
        <v>1</v>
      </c>
      <c r="AK296">
        <v>2</v>
      </c>
      <c r="AL296">
        <v>0</v>
      </c>
      <c r="AM296">
        <v>1</v>
      </c>
      <c r="AN296">
        <v>0</v>
      </c>
      <c r="AO296" t="s">
        <v>68</v>
      </c>
      <c r="AP296" t="s">
        <v>68</v>
      </c>
      <c r="AQ296">
        <v>0</v>
      </c>
      <c r="AR296" t="s">
        <v>69</v>
      </c>
      <c r="AS296">
        <v>3</v>
      </c>
      <c r="AT296">
        <v>0</v>
      </c>
      <c r="AU296">
        <v>6.1700000000000001E-3</v>
      </c>
      <c r="AV296">
        <v>-1.1299999999999999E-3</v>
      </c>
      <c r="AW296">
        <v>2.733E-2</v>
      </c>
      <c r="AX296">
        <v>-5.0899999999999999E-3</v>
      </c>
      <c r="AY296">
        <v>0</v>
      </c>
      <c r="AZ296">
        <v>0</v>
      </c>
      <c r="BA296">
        <v>0</v>
      </c>
      <c r="BB296">
        <v>1</v>
      </c>
      <c r="BC296" t="s">
        <v>70</v>
      </c>
      <c r="BD296">
        <v>-0.17499999999999999</v>
      </c>
      <c r="BE296">
        <v>-0.17499999999999999</v>
      </c>
      <c r="BF296" t="s">
        <v>71</v>
      </c>
      <c r="BG296">
        <v>-3.5087719298245598E-2</v>
      </c>
      <c r="BI296">
        <v>3</v>
      </c>
      <c r="BJ296">
        <v>0</v>
      </c>
      <c r="BK296">
        <v>-3.5087719298245598E-2</v>
      </c>
    </row>
    <row r="297" spans="1:63">
      <c r="A297">
        <v>1632</v>
      </c>
      <c r="B297" t="s">
        <v>1752</v>
      </c>
      <c r="D297" t="s">
        <v>60</v>
      </c>
      <c r="E297">
        <v>1674259</v>
      </c>
      <c r="F297">
        <v>1674642</v>
      </c>
      <c r="G297" t="s">
        <v>74</v>
      </c>
      <c r="H297">
        <v>128</v>
      </c>
      <c r="I297" t="s">
        <v>63</v>
      </c>
      <c r="J297">
        <v>5</v>
      </c>
      <c r="K297" t="str">
        <f>HYPERLINK("Gene1632-zp_tree_all.dnd", "Gene1632-tree")</f>
        <v>Gene1632-tree</v>
      </c>
      <c r="L297">
        <v>1</v>
      </c>
      <c r="M297">
        <v>4</v>
      </c>
      <c r="N297">
        <v>1</v>
      </c>
      <c r="O297">
        <v>4</v>
      </c>
      <c r="P297">
        <v>0.8</v>
      </c>
      <c r="Q297" t="s">
        <v>65</v>
      </c>
      <c r="R297" t="s">
        <v>64</v>
      </c>
      <c r="S297" t="s">
        <v>66</v>
      </c>
      <c r="T297" t="s">
        <v>66</v>
      </c>
      <c r="U297">
        <v>1</v>
      </c>
      <c r="V297">
        <v>2</v>
      </c>
      <c r="W297">
        <v>3</v>
      </c>
      <c r="X297">
        <v>0.4</v>
      </c>
      <c r="Y297">
        <v>0</v>
      </c>
      <c r="Z297">
        <v>0</v>
      </c>
      <c r="AA297">
        <v>0</v>
      </c>
      <c r="AB297">
        <v>2</v>
      </c>
      <c r="AC297">
        <v>0</v>
      </c>
      <c r="AD297">
        <v>0</v>
      </c>
      <c r="AE297">
        <v>2</v>
      </c>
      <c r="AF297">
        <v>2</v>
      </c>
      <c r="AG297">
        <v>1</v>
      </c>
      <c r="AH297">
        <v>0.66666999999999998</v>
      </c>
      <c r="AI297">
        <v>4</v>
      </c>
      <c r="AJ297">
        <v>1</v>
      </c>
      <c r="AK297">
        <v>8</v>
      </c>
      <c r="AL297">
        <v>3</v>
      </c>
      <c r="AM297">
        <v>5</v>
      </c>
      <c r="AN297">
        <v>2</v>
      </c>
      <c r="AO297" t="s">
        <v>1754</v>
      </c>
      <c r="AP297" t="s">
        <v>1755</v>
      </c>
      <c r="AQ297">
        <v>0.128</v>
      </c>
      <c r="AR297" t="s">
        <v>69</v>
      </c>
      <c r="AS297">
        <v>13</v>
      </c>
      <c r="AT297">
        <v>5</v>
      </c>
      <c r="AU297">
        <v>2.24E-2</v>
      </c>
      <c r="AV297">
        <v>-3.5400000000000002E-3</v>
      </c>
      <c r="AW297">
        <v>9.0120000000000006E-2</v>
      </c>
      <c r="AX297">
        <v>-1.553E-2</v>
      </c>
      <c r="AY297">
        <v>7.7999999999999996E-3</v>
      </c>
      <c r="AZ297">
        <v>-1.15E-3</v>
      </c>
      <c r="BA297">
        <v>8.6529999999999996E-2</v>
      </c>
      <c r="BB297">
        <v>1</v>
      </c>
      <c r="BC297" t="s">
        <v>70</v>
      </c>
      <c r="BD297">
        <v>-3.4000000000000002E-2</v>
      </c>
      <c r="BE297">
        <v>-3.4000000000000002E-2</v>
      </c>
      <c r="BF297" t="s">
        <v>71</v>
      </c>
      <c r="BG297">
        <v>0.13157894736842099</v>
      </c>
      <c r="BI297">
        <v>18</v>
      </c>
      <c r="BJ297">
        <v>8.6529999999999996E-2</v>
      </c>
      <c r="BK297">
        <v>0.13157894736842099</v>
      </c>
    </row>
    <row r="298" spans="1:63">
      <c r="A298">
        <v>1640</v>
      </c>
      <c r="B298" t="s">
        <v>1759</v>
      </c>
      <c r="D298" t="s">
        <v>60</v>
      </c>
      <c r="E298">
        <v>1680431</v>
      </c>
      <c r="F298">
        <v>1681585</v>
      </c>
      <c r="G298" t="s">
        <v>1761</v>
      </c>
      <c r="H298">
        <v>385</v>
      </c>
      <c r="I298" t="s">
        <v>63</v>
      </c>
      <c r="J298">
        <v>5</v>
      </c>
      <c r="K298" t="str">
        <f>HYPERLINK("Gene1640-zp_tree_all.dnd", "Gene1640-tree")</f>
        <v>Gene1640-tree</v>
      </c>
      <c r="L298">
        <v>2</v>
      </c>
      <c r="M298">
        <v>3</v>
      </c>
      <c r="N298">
        <v>2</v>
      </c>
      <c r="O298">
        <v>3</v>
      </c>
      <c r="P298">
        <v>0.6</v>
      </c>
      <c r="Q298" t="s">
        <v>124</v>
      </c>
      <c r="R298" t="s">
        <v>86</v>
      </c>
      <c r="S298" t="s">
        <v>66</v>
      </c>
      <c r="T298" t="s">
        <v>66</v>
      </c>
      <c r="U298">
        <v>0</v>
      </c>
      <c r="V298">
        <v>0</v>
      </c>
      <c r="W298">
        <v>6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6</v>
      </c>
      <c r="AH298">
        <v>0</v>
      </c>
      <c r="AI298">
        <v>5</v>
      </c>
      <c r="AJ298">
        <v>2</v>
      </c>
      <c r="AK298">
        <v>22</v>
      </c>
      <c r="AL298">
        <v>3</v>
      </c>
      <c r="AM298">
        <v>33</v>
      </c>
      <c r="AN298">
        <v>4</v>
      </c>
      <c r="AO298" t="s">
        <v>1762</v>
      </c>
      <c r="AP298" t="s">
        <v>1763</v>
      </c>
      <c r="AQ298">
        <v>0.13700000000000001</v>
      </c>
      <c r="AR298" t="s">
        <v>69</v>
      </c>
      <c r="AS298">
        <v>55</v>
      </c>
      <c r="AT298">
        <v>7</v>
      </c>
      <c r="AU298">
        <v>2.7709999999999999E-2</v>
      </c>
      <c r="AV298">
        <v>-4.9300000000000004E-3</v>
      </c>
      <c r="AW298">
        <v>0.1154</v>
      </c>
      <c r="AX298">
        <v>-2.1069999999999998E-2</v>
      </c>
      <c r="AY298">
        <v>4.4200000000000003E-3</v>
      </c>
      <c r="AZ298">
        <v>-8.8999999999999995E-4</v>
      </c>
      <c r="BA298">
        <v>3.8309999999999997E-2</v>
      </c>
      <c r="BB298">
        <v>1</v>
      </c>
      <c r="BC298" t="s">
        <v>70</v>
      </c>
      <c r="BD298">
        <v>0.70299999999999996</v>
      </c>
      <c r="BE298">
        <v>0.59899999999999998</v>
      </c>
      <c r="BF298" t="s">
        <v>71</v>
      </c>
      <c r="BG298">
        <v>0.17741935483870899</v>
      </c>
      <c r="BI298">
        <v>62</v>
      </c>
      <c r="BJ298">
        <v>3.8309999999999997E-2</v>
      </c>
      <c r="BK298">
        <v>0.17741935483870899</v>
      </c>
    </row>
    <row r="299" spans="1:63">
      <c r="A299">
        <v>1641</v>
      </c>
      <c r="B299" t="s">
        <v>1764</v>
      </c>
      <c r="D299" t="s">
        <v>60</v>
      </c>
      <c r="E299">
        <v>1681617</v>
      </c>
      <c r="F299">
        <v>1682516</v>
      </c>
      <c r="G299" t="s">
        <v>1766</v>
      </c>
      <c r="H299">
        <v>300</v>
      </c>
      <c r="I299" t="s">
        <v>63</v>
      </c>
      <c r="J299">
        <v>5</v>
      </c>
      <c r="K299" t="str">
        <f>HYPERLINK("Gene1641-zp_tree_all.dnd", "Gene1641-tree")</f>
        <v>Gene1641-tree</v>
      </c>
      <c r="L299">
        <v>4</v>
      </c>
      <c r="M299">
        <v>1</v>
      </c>
      <c r="N299">
        <v>4</v>
      </c>
      <c r="O299">
        <v>1</v>
      </c>
      <c r="P299">
        <v>0.2</v>
      </c>
      <c r="Q299" t="s">
        <v>64</v>
      </c>
      <c r="R299" t="s">
        <v>65</v>
      </c>
      <c r="S299" t="s">
        <v>66</v>
      </c>
      <c r="T299" t="s">
        <v>66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4</v>
      </c>
      <c r="AJ299">
        <v>2</v>
      </c>
      <c r="AK299">
        <v>18</v>
      </c>
      <c r="AL299">
        <v>1</v>
      </c>
      <c r="AM299">
        <v>24</v>
      </c>
      <c r="AN299">
        <v>0</v>
      </c>
      <c r="AO299" t="s">
        <v>1767</v>
      </c>
      <c r="AP299" t="s">
        <v>68</v>
      </c>
      <c r="AQ299">
        <v>0.63200000000000001</v>
      </c>
      <c r="AR299" t="s">
        <v>69</v>
      </c>
      <c r="AS299">
        <v>42</v>
      </c>
      <c r="AT299">
        <v>1</v>
      </c>
      <c r="AU299">
        <v>2.3890000000000002E-2</v>
      </c>
      <c r="AV299">
        <v>-4.28E-3</v>
      </c>
      <c r="AW299">
        <v>0.10759000000000001</v>
      </c>
      <c r="AX299">
        <v>-1.9990000000000001E-2</v>
      </c>
      <c r="AY299">
        <v>5.8E-4</v>
      </c>
      <c r="AZ299">
        <v>-2.3000000000000001E-4</v>
      </c>
      <c r="BA299">
        <v>5.4400000000000004E-3</v>
      </c>
      <c r="BB299">
        <v>1</v>
      </c>
      <c r="BC299" t="s">
        <v>70</v>
      </c>
      <c r="BD299">
        <v>0.69599999999999995</v>
      </c>
      <c r="BE299">
        <v>0.505</v>
      </c>
      <c r="BF299" t="s">
        <v>71</v>
      </c>
      <c r="BG299">
        <v>0.155131264916467</v>
      </c>
      <c r="BI299">
        <v>43</v>
      </c>
      <c r="BJ299">
        <v>5.4400000000000004E-3</v>
      </c>
      <c r="BK299">
        <v>0.155131264916467</v>
      </c>
    </row>
    <row r="300" spans="1:63">
      <c r="A300">
        <v>1645</v>
      </c>
      <c r="B300" t="s">
        <v>1768</v>
      </c>
      <c r="D300" t="s">
        <v>60</v>
      </c>
      <c r="E300">
        <v>1687187</v>
      </c>
      <c r="F300">
        <v>1688098</v>
      </c>
      <c r="G300" t="s">
        <v>1770</v>
      </c>
      <c r="H300">
        <v>304</v>
      </c>
      <c r="I300" t="s">
        <v>63</v>
      </c>
      <c r="J300">
        <v>5</v>
      </c>
      <c r="K300" t="str">
        <f>HYPERLINK("Gene1645-zp_tree_all.dnd", "Gene1645-tree")</f>
        <v>Gene1645-tree</v>
      </c>
      <c r="L300">
        <v>4</v>
      </c>
      <c r="M300">
        <v>1</v>
      </c>
      <c r="N300">
        <v>4</v>
      </c>
      <c r="O300">
        <v>1</v>
      </c>
      <c r="P300">
        <v>0.2</v>
      </c>
      <c r="Q300" t="s">
        <v>64</v>
      </c>
      <c r="R300" t="s">
        <v>65</v>
      </c>
      <c r="S300" t="s">
        <v>66</v>
      </c>
      <c r="T300" t="s">
        <v>66</v>
      </c>
      <c r="U300">
        <v>0</v>
      </c>
      <c r="V300">
        <v>0</v>
      </c>
      <c r="W300">
        <v>6</v>
      </c>
      <c r="X300">
        <v>0</v>
      </c>
      <c r="Y300">
        <v>0</v>
      </c>
      <c r="Z300">
        <v>0</v>
      </c>
      <c r="AA300">
        <v>0</v>
      </c>
      <c r="AB300">
        <v>5</v>
      </c>
      <c r="AC300">
        <v>0</v>
      </c>
      <c r="AD300">
        <v>0</v>
      </c>
      <c r="AE300">
        <v>0</v>
      </c>
      <c r="AF300">
        <v>0</v>
      </c>
      <c r="AG300">
        <v>1</v>
      </c>
      <c r="AH300">
        <v>0</v>
      </c>
      <c r="AI300">
        <v>5</v>
      </c>
      <c r="AJ300">
        <v>2</v>
      </c>
      <c r="AK300">
        <v>15</v>
      </c>
      <c r="AL300">
        <v>1</v>
      </c>
      <c r="AM300">
        <v>18</v>
      </c>
      <c r="AN300">
        <v>5</v>
      </c>
      <c r="AO300" t="s">
        <v>1771</v>
      </c>
      <c r="AP300" t="s">
        <v>1772</v>
      </c>
      <c r="AQ300">
        <v>0.78400000000000003</v>
      </c>
      <c r="AR300" t="s">
        <v>69</v>
      </c>
      <c r="AS300">
        <v>33</v>
      </c>
      <c r="AT300">
        <v>6</v>
      </c>
      <c r="AU300">
        <v>2.1600000000000001E-2</v>
      </c>
      <c r="AV300">
        <v>-4.0499999999999998E-3</v>
      </c>
      <c r="AW300">
        <v>8.6540000000000006E-2</v>
      </c>
      <c r="AX300">
        <v>-1.6230000000000001E-2</v>
      </c>
      <c r="AY300">
        <v>5.0899999999999999E-3</v>
      </c>
      <c r="AZ300">
        <v>-1.06E-3</v>
      </c>
      <c r="BA300">
        <v>5.8779999999999999E-2</v>
      </c>
      <c r="BB300">
        <v>1</v>
      </c>
      <c r="BC300" t="s">
        <v>70</v>
      </c>
      <c r="BD300">
        <v>0.82</v>
      </c>
      <c r="BE300">
        <v>0.60899999999999999</v>
      </c>
      <c r="BF300" t="s">
        <v>71</v>
      </c>
      <c r="BG300">
        <v>0.107438016528925</v>
      </c>
      <c r="BI300">
        <v>39</v>
      </c>
      <c r="BJ300">
        <v>5.8779999999999999E-2</v>
      </c>
      <c r="BK300">
        <v>0.107438016528925</v>
      </c>
    </row>
    <row r="301" spans="1:63">
      <c r="A301">
        <v>1646</v>
      </c>
      <c r="B301" t="s">
        <v>1773</v>
      </c>
      <c r="D301" t="s">
        <v>60</v>
      </c>
      <c r="E301">
        <v>1688114</v>
      </c>
      <c r="F301">
        <v>1688656</v>
      </c>
      <c r="G301" t="s">
        <v>1775</v>
      </c>
      <c r="H301">
        <v>181</v>
      </c>
      <c r="I301" t="s">
        <v>63</v>
      </c>
      <c r="J301">
        <v>5</v>
      </c>
      <c r="K301" t="str">
        <f>HYPERLINK("Gene1646-zp_tree_all.dnd", "Gene1646-tree")</f>
        <v>Gene1646-tree</v>
      </c>
      <c r="L301">
        <v>4</v>
      </c>
      <c r="M301">
        <v>1</v>
      </c>
      <c r="N301">
        <v>4</v>
      </c>
      <c r="O301">
        <v>1</v>
      </c>
      <c r="P301">
        <v>0.2</v>
      </c>
      <c r="Q301" t="s">
        <v>64</v>
      </c>
      <c r="R301" t="s">
        <v>65</v>
      </c>
      <c r="S301" t="s">
        <v>66</v>
      </c>
      <c r="T301" t="s">
        <v>66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3</v>
      </c>
      <c r="AJ301">
        <v>2</v>
      </c>
      <c r="AK301">
        <v>9</v>
      </c>
      <c r="AL301">
        <v>1</v>
      </c>
      <c r="AM301">
        <v>20</v>
      </c>
      <c r="AN301">
        <v>0</v>
      </c>
      <c r="AO301" t="s">
        <v>1776</v>
      </c>
      <c r="AP301" t="s">
        <v>68</v>
      </c>
      <c r="AQ301">
        <v>0.83399999999999996</v>
      </c>
      <c r="AR301" t="s">
        <v>69</v>
      </c>
      <c r="AS301">
        <v>29</v>
      </c>
      <c r="AT301">
        <v>1</v>
      </c>
      <c r="AU301">
        <v>2.836E-2</v>
      </c>
      <c r="AV301">
        <v>-5.4000000000000003E-3</v>
      </c>
      <c r="AW301">
        <v>0.13363</v>
      </c>
      <c r="AX301">
        <v>-2.6499999999999999E-2</v>
      </c>
      <c r="AY301">
        <v>9.6000000000000002E-4</v>
      </c>
      <c r="AZ301">
        <v>-3.6999999999999999E-4</v>
      </c>
      <c r="BA301">
        <v>7.1999999999999998E-3</v>
      </c>
      <c r="BB301">
        <v>1</v>
      </c>
      <c r="BC301" t="s">
        <v>70</v>
      </c>
      <c r="BD301">
        <v>1.089</v>
      </c>
      <c r="BE301">
        <v>0.86599999999999999</v>
      </c>
      <c r="BF301" t="s">
        <v>71</v>
      </c>
      <c r="BG301">
        <v>0.181102362204724</v>
      </c>
      <c r="BI301">
        <v>30</v>
      </c>
      <c r="BJ301">
        <v>7.1999999999999998E-3</v>
      </c>
      <c r="BK301">
        <v>0.181102362204724</v>
      </c>
    </row>
    <row r="302" spans="1:63">
      <c r="A302">
        <v>1647</v>
      </c>
      <c r="B302" t="s">
        <v>1777</v>
      </c>
      <c r="D302" t="s">
        <v>60</v>
      </c>
      <c r="E302">
        <v>1688676</v>
      </c>
      <c r="F302">
        <v>1690076</v>
      </c>
      <c r="G302" t="s">
        <v>1779</v>
      </c>
      <c r="H302">
        <v>467</v>
      </c>
      <c r="I302" t="s">
        <v>85</v>
      </c>
      <c r="J302">
        <v>4</v>
      </c>
      <c r="K302" t="str">
        <f>HYPERLINK("Gene1647-zp_tree_all.dnd", "Gene1647-tree")</f>
        <v>Gene1647-tree</v>
      </c>
      <c r="L302">
        <v>2</v>
      </c>
      <c r="M302">
        <v>2</v>
      </c>
      <c r="N302">
        <v>2</v>
      </c>
      <c r="O302">
        <v>2</v>
      </c>
      <c r="P302">
        <v>0.5</v>
      </c>
      <c r="Q302" t="s">
        <v>124</v>
      </c>
      <c r="R302" t="s">
        <v>124</v>
      </c>
      <c r="S302" t="s">
        <v>66</v>
      </c>
      <c r="T302" t="s">
        <v>66</v>
      </c>
      <c r="U302">
        <v>0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4</v>
      </c>
      <c r="AH302">
        <v>0</v>
      </c>
      <c r="AI302">
        <v>4</v>
      </c>
      <c r="AJ302">
        <v>1</v>
      </c>
      <c r="AK302">
        <v>59</v>
      </c>
      <c r="AL302">
        <v>4</v>
      </c>
      <c r="AM302">
        <v>3</v>
      </c>
      <c r="AN302">
        <v>0</v>
      </c>
      <c r="AO302" t="s">
        <v>1780</v>
      </c>
      <c r="AP302" t="s">
        <v>68</v>
      </c>
      <c r="AQ302">
        <v>0.64500000000000002</v>
      </c>
      <c r="AR302" t="s">
        <v>69</v>
      </c>
      <c r="AS302">
        <v>62</v>
      </c>
      <c r="AT302">
        <v>4</v>
      </c>
      <c r="AU302">
        <v>2.3439999999999999E-2</v>
      </c>
      <c r="AV302">
        <v>-6.5100000000000002E-3</v>
      </c>
      <c r="AW302">
        <v>0.11151999999999999</v>
      </c>
      <c r="AX302">
        <v>-3.2149999999999998E-2</v>
      </c>
      <c r="AY302">
        <v>1.83E-3</v>
      </c>
      <c r="AZ302">
        <v>-5.2999999999999998E-4</v>
      </c>
      <c r="BA302">
        <v>1.644E-2</v>
      </c>
      <c r="BB302">
        <v>1</v>
      </c>
      <c r="BC302" t="s">
        <v>70</v>
      </c>
      <c r="BD302">
        <v>-0.62</v>
      </c>
      <c r="BE302">
        <v>-0.77</v>
      </c>
      <c r="BF302" t="s">
        <v>71</v>
      </c>
      <c r="BG302">
        <v>0.18666666666666601</v>
      </c>
      <c r="BI302">
        <v>66</v>
      </c>
      <c r="BJ302">
        <v>1.644E-2</v>
      </c>
      <c r="BK302">
        <v>0.18666666666666601</v>
      </c>
    </row>
    <row r="303" spans="1:63">
      <c r="A303">
        <v>1648</v>
      </c>
      <c r="B303" t="s">
        <v>1781</v>
      </c>
      <c r="D303" t="s">
        <v>60</v>
      </c>
      <c r="E303">
        <v>1690119</v>
      </c>
      <c r="F303">
        <v>1690895</v>
      </c>
      <c r="G303" t="s">
        <v>1783</v>
      </c>
      <c r="H303">
        <v>259</v>
      </c>
      <c r="I303" t="s">
        <v>63</v>
      </c>
      <c r="J303">
        <v>5</v>
      </c>
      <c r="K303" t="str">
        <f>HYPERLINK("Gene1648-zp_tree_all.dnd", "Gene1648-tree")</f>
        <v>Gene1648-tree</v>
      </c>
      <c r="L303">
        <v>5</v>
      </c>
      <c r="M303">
        <v>0</v>
      </c>
      <c r="N303">
        <v>5</v>
      </c>
      <c r="O303">
        <v>0</v>
      </c>
      <c r="P303">
        <v>0</v>
      </c>
      <c r="Q303" t="s">
        <v>96</v>
      </c>
      <c r="R303" t="s">
        <v>66</v>
      </c>
      <c r="S303" t="s">
        <v>66</v>
      </c>
      <c r="T303" t="s">
        <v>66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4</v>
      </c>
      <c r="AJ303">
        <v>2</v>
      </c>
      <c r="AK303">
        <v>15</v>
      </c>
      <c r="AL303">
        <v>0</v>
      </c>
      <c r="AM303">
        <v>33</v>
      </c>
      <c r="AN303">
        <v>0</v>
      </c>
      <c r="AO303" t="s">
        <v>68</v>
      </c>
      <c r="AP303" t="s">
        <v>68</v>
      </c>
      <c r="AQ303">
        <v>0</v>
      </c>
      <c r="AR303" t="s">
        <v>69</v>
      </c>
      <c r="AS303">
        <v>48</v>
      </c>
      <c r="AT303">
        <v>0</v>
      </c>
      <c r="AU303">
        <v>3.2300000000000002E-2</v>
      </c>
      <c r="AV303">
        <v>-6.1700000000000001E-3</v>
      </c>
      <c r="AW303">
        <v>0.16600000000000001</v>
      </c>
      <c r="AX303">
        <v>-3.2910000000000002E-2</v>
      </c>
      <c r="AY303">
        <v>0</v>
      </c>
      <c r="AZ303">
        <v>0</v>
      </c>
      <c r="BA303">
        <v>0</v>
      </c>
      <c r="BB303">
        <v>1</v>
      </c>
      <c r="BC303" t="s">
        <v>70</v>
      </c>
      <c r="BD303">
        <v>1.0309999999999999</v>
      </c>
      <c r="BE303">
        <v>0.86</v>
      </c>
      <c r="BF303" t="s">
        <v>71</v>
      </c>
      <c r="BG303">
        <v>0.11688311688311601</v>
      </c>
      <c r="BI303">
        <v>48</v>
      </c>
      <c r="BJ303">
        <v>0</v>
      </c>
      <c r="BK303">
        <v>0.11688311688311601</v>
      </c>
    </row>
    <row r="304" spans="1:63">
      <c r="A304">
        <v>1649</v>
      </c>
      <c r="B304" t="s">
        <v>1784</v>
      </c>
      <c r="D304" t="s">
        <v>60</v>
      </c>
      <c r="E304">
        <v>1691278</v>
      </c>
      <c r="F304">
        <v>1691664</v>
      </c>
      <c r="G304" t="s">
        <v>1786</v>
      </c>
      <c r="H304">
        <v>129</v>
      </c>
      <c r="I304" t="s">
        <v>63</v>
      </c>
      <c r="J304">
        <v>5</v>
      </c>
      <c r="K304" t="str">
        <f>HYPERLINK("Gene1649-zp_tree_all.dnd", "Gene1649-tree")</f>
        <v>Gene1649-tree</v>
      </c>
      <c r="L304">
        <v>1</v>
      </c>
      <c r="M304">
        <v>4</v>
      </c>
      <c r="N304">
        <v>1</v>
      </c>
      <c r="O304">
        <v>3</v>
      </c>
      <c r="P304">
        <v>0.75</v>
      </c>
      <c r="Q304" t="s">
        <v>65</v>
      </c>
      <c r="R304" t="s">
        <v>112</v>
      </c>
      <c r="S304">
        <v>5</v>
      </c>
      <c r="T304" t="s">
        <v>239</v>
      </c>
      <c r="U304">
        <v>0</v>
      </c>
      <c r="V304">
        <v>0</v>
      </c>
      <c r="W304">
        <v>6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6</v>
      </c>
      <c r="AH304">
        <v>0</v>
      </c>
      <c r="AI304">
        <v>3</v>
      </c>
      <c r="AJ304">
        <v>1</v>
      </c>
      <c r="AK304">
        <v>7</v>
      </c>
      <c r="AL304">
        <v>2</v>
      </c>
      <c r="AM304">
        <v>5</v>
      </c>
      <c r="AN304">
        <v>4</v>
      </c>
      <c r="AO304" t="s">
        <v>1787</v>
      </c>
      <c r="AP304" t="s">
        <v>1788</v>
      </c>
      <c r="AQ304">
        <v>2.6389999999999998</v>
      </c>
      <c r="AR304" t="s">
        <v>69</v>
      </c>
      <c r="AS304">
        <v>12</v>
      </c>
      <c r="AT304">
        <v>6</v>
      </c>
      <c r="AU304">
        <v>2.7130000000000001E-2</v>
      </c>
      <c r="AV304">
        <v>-4.9800000000000001E-3</v>
      </c>
      <c r="AW304">
        <v>8.8279999999999997E-2</v>
      </c>
      <c r="AX304">
        <v>-1.7649999999999999E-2</v>
      </c>
      <c r="AY304">
        <v>1.2200000000000001E-2</v>
      </c>
      <c r="AZ304">
        <v>-2.6900000000000001E-3</v>
      </c>
      <c r="BA304">
        <v>0.13814000000000001</v>
      </c>
      <c r="BB304">
        <v>1</v>
      </c>
      <c r="BC304" t="s">
        <v>70</v>
      </c>
      <c r="BD304">
        <v>0.307</v>
      </c>
      <c r="BE304">
        <v>0.307</v>
      </c>
      <c r="BF304" t="s">
        <v>71</v>
      </c>
      <c r="BG304">
        <v>8.8235294117646995E-2</v>
      </c>
      <c r="BI304">
        <v>18</v>
      </c>
      <c r="BJ304">
        <v>0.13814000000000001</v>
      </c>
      <c r="BK304">
        <v>8.8235294117646995E-2</v>
      </c>
    </row>
    <row r="305" spans="1:63">
      <c r="A305">
        <v>1650</v>
      </c>
      <c r="B305" t="s">
        <v>1789</v>
      </c>
      <c r="D305" t="s">
        <v>60</v>
      </c>
      <c r="E305">
        <v>1691667</v>
      </c>
      <c r="F305">
        <v>1692116</v>
      </c>
      <c r="G305" t="s">
        <v>1791</v>
      </c>
      <c r="H305">
        <v>150</v>
      </c>
      <c r="I305" t="s">
        <v>63</v>
      </c>
      <c r="J305">
        <v>5</v>
      </c>
      <c r="K305" t="str">
        <f>HYPERLINK("Gene1650-zp_tree_all.dnd", "Gene1650-tree")</f>
        <v>Gene1650-tree</v>
      </c>
      <c r="L305">
        <v>3</v>
      </c>
      <c r="M305">
        <v>2</v>
      </c>
      <c r="N305">
        <v>3</v>
      </c>
      <c r="O305">
        <v>2</v>
      </c>
      <c r="P305">
        <v>0.4</v>
      </c>
      <c r="Q305" t="s">
        <v>86</v>
      </c>
      <c r="R305" t="s">
        <v>124</v>
      </c>
      <c r="S305" t="s">
        <v>66</v>
      </c>
      <c r="T305" t="s">
        <v>66</v>
      </c>
      <c r="U305">
        <v>0</v>
      </c>
      <c r="V305">
        <v>0</v>
      </c>
      <c r="W305">
        <v>3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2</v>
      </c>
      <c r="AH305">
        <v>0</v>
      </c>
      <c r="AI305">
        <v>4</v>
      </c>
      <c r="AJ305">
        <v>2</v>
      </c>
      <c r="AK305">
        <v>8</v>
      </c>
      <c r="AL305">
        <v>2</v>
      </c>
      <c r="AM305">
        <v>16</v>
      </c>
      <c r="AN305">
        <v>1</v>
      </c>
      <c r="AO305" t="s">
        <v>1792</v>
      </c>
      <c r="AP305" t="s">
        <v>1793</v>
      </c>
      <c r="AQ305">
        <v>1.115</v>
      </c>
      <c r="AR305" t="s">
        <v>69</v>
      </c>
      <c r="AS305">
        <v>24</v>
      </c>
      <c r="AT305">
        <v>3</v>
      </c>
      <c r="AU305">
        <v>3.1559999999999998E-2</v>
      </c>
      <c r="AV305">
        <v>-5.8199999999999997E-3</v>
      </c>
      <c r="AW305">
        <v>0.14509</v>
      </c>
      <c r="AX305">
        <v>-2.87E-2</v>
      </c>
      <c r="AY305">
        <v>4.0200000000000001E-3</v>
      </c>
      <c r="AZ305">
        <v>-7.2999999999999996E-4</v>
      </c>
      <c r="BA305">
        <v>2.7709999999999999E-2</v>
      </c>
      <c r="BB305">
        <v>1</v>
      </c>
      <c r="BC305" t="s">
        <v>70</v>
      </c>
      <c r="BD305">
        <v>0.71399999999999997</v>
      </c>
      <c r="BE305">
        <v>0.71399999999999997</v>
      </c>
      <c r="BF305" t="s">
        <v>71</v>
      </c>
      <c r="BG305">
        <v>0.181347150259067</v>
      </c>
      <c r="BI305">
        <v>27</v>
      </c>
      <c r="BJ305">
        <v>2.7709999999999999E-2</v>
      </c>
      <c r="BK305">
        <v>0.181347150259067</v>
      </c>
    </row>
    <row r="306" spans="1:63">
      <c r="A306">
        <v>1653</v>
      </c>
      <c r="B306" t="s">
        <v>1797</v>
      </c>
      <c r="D306" t="s">
        <v>60</v>
      </c>
      <c r="E306">
        <v>1694119</v>
      </c>
      <c r="F306">
        <v>1695132</v>
      </c>
      <c r="G306" t="s">
        <v>1799</v>
      </c>
      <c r="H306">
        <v>338</v>
      </c>
      <c r="I306" t="s">
        <v>63</v>
      </c>
      <c r="J306">
        <v>5</v>
      </c>
      <c r="K306" t="str">
        <f>HYPERLINK("Gene1653-zp_tree_all.dnd", "Gene1653-tree")</f>
        <v>Gene1653-tree</v>
      </c>
      <c r="L306">
        <v>5</v>
      </c>
      <c r="M306">
        <v>0</v>
      </c>
      <c r="N306">
        <v>5</v>
      </c>
      <c r="O306">
        <v>0</v>
      </c>
      <c r="P306">
        <v>0</v>
      </c>
      <c r="Q306" t="s">
        <v>96</v>
      </c>
      <c r="R306" t="s">
        <v>66</v>
      </c>
      <c r="S306" t="s">
        <v>66</v>
      </c>
      <c r="T306" t="s">
        <v>66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4</v>
      </c>
      <c r="AJ306">
        <v>2</v>
      </c>
      <c r="AK306">
        <v>24</v>
      </c>
      <c r="AL306">
        <v>0</v>
      </c>
      <c r="AM306">
        <v>36</v>
      </c>
      <c r="AN306">
        <v>1</v>
      </c>
      <c r="AO306" t="s">
        <v>68</v>
      </c>
      <c r="AP306" t="s">
        <v>1800</v>
      </c>
      <c r="AQ306">
        <v>1.0089999999999999</v>
      </c>
      <c r="AR306" t="s">
        <v>69</v>
      </c>
      <c r="AS306">
        <v>60</v>
      </c>
      <c r="AT306">
        <v>1</v>
      </c>
      <c r="AU306">
        <v>2.9090000000000001E-2</v>
      </c>
      <c r="AV306">
        <v>-4.6899999999999997E-3</v>
      </c>
      <c r="AW306">
        <v>0.14695</v>
      </c>
      <c r="AX306">
        <v>-2.4469999999999999E-2</v>
      </c>
      <c r="AY306">
        <v>7.6000000000000004E-4</v>
      </c>
      <c r="AZ306">
        <v>-1.8000000000000001E-4</v>
      </c>
      <c r="BA306">
        <v>5.1599999999999997E-3</v>
      </c>
      <c r="BB306">
        <v>1</v>
      </c>
      <c r="BC306" t="s">
        <v>70</v>
      </c>
      <c r="BD306">
        <v>1.0429999999999999</v>
      </c>
      <c r="BE306">
        <v>0.49</v>
      </c>
      <c r="BF306" t="s">
        <v>71</v>
      </c>
      <c r="BG306">
        <v>0.20476190476190401</v>
      </c>
      <c r="BI306">
        <v>61</v>
      </c>
      <c r="BJ306">
        <v>5.1599999999999997E-3</v>
      </c>
      <c r="BK306">
        <v>0.20476190476190401</v>
      </c>
    </row>
    <row r="307" spans="1:63">
      <c r="A307">
        <v>1656</v>
      </c>
      <c r="B307" t="s">
        <v>1801</v>
      </c>
      <c r="D307" t="s">
        <v>60</v>
      </c>
      <c r="E307">
        <v>1697196</v>
      </c>
      <c r="F307">
        <v>1697636</v>
      </c>
      <c r="G307" t="s">
        <v>1803</v>
      </c>
      <c r="H307">
        <v>147</v>
      </c>
      <c r="I307" t="s">
        <v>63</v>
      </c>
      <c r="J307">
        <v>5</v>
      </c>
      <c r="K307" t="str">
        <f>HYPERLINK("Gene1656-zp_tree_all.dnd", "Gene1656-tree")</f>
        <v>Gene1656-tree</v>
      </c>
      <c r="L307">
        <v>5</v>
      </c>
      <c r="M307">
        <v>0</v>
      </c>
      <c r="N307">
        <v>5</v>
      </c>
      <c r="O307">
        <v>0</v>
      </c>
      <c r="P307">
        <v>0</v>
      </c>
      <c r="Q307" t="s">
        <v>96</v>
      </c>
      <c r="R307" t="s">
        <v>66</v>
      </c>
      <c r="S307" t="s">
        <v>66</v>
      </c>
      <c r="T307" t="s">
        <v>66</v>
      </c>
      <c r="U307">
        <v>0</v>
      </c>
      <c r="V307">
        <v>0</v>
      </c>
      <c r="W307">
        <v>3</v>
      </c>
      <c r="X307">
        <v>0</v>
      </c>
      <c r="Y307">
        <v>0</v>
      </c>
      <c r="Z307">
        <v>0</v>
      </c>
      <c r="AA307">
        <v>0</v>
      </c>
      <c r="AB307">
        <v>3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3</v>
      </c>
      <c r="AJ307">
        <v>2</v>
      </c>
      <c r="AK307">
        <v>8</v>
      </c>
      <c r="AL307">
        <v>0</v>
      </c>
      <c r="AM307">
        <v>16</v>
      </c>
      <c r="AN307">
        <v>3</v>
      </c>
      <c r="AO307" t="s">
        <v>68</v>
      </c>
      <c r="AP307" t="s">
        <v>1804</v>
      </c>
      <c r="AQ307">
        <v>0.88300000000000001</v>
      </c>
      <c r="AR307" t="s">
        <v>69</v>
      </c>
      <c r="AS307">
        <v>24</v>
      </c>
      <c r="AT307">
        <v>3</v>
      </c>
      <c r="AU307">
        <v>3.107E-2</v>
      </c>
      <c r="AV307">
        <v>-6.2300000000000003E-3</v>
      </c>
      <c r="AW307">
        <v>0.18554000000000001</v>
      </c>
      <c r="AX307">
        <v>-3.7170000000000002E-2</v>
      </c>
      <c r="AY307">
        <v>4.96E-3</v>
      </c>
      <c r="AZ307">
        <v>-1.1800000000000001E-3</v>
      </c>
      <c r="BA307">
        <v>2.6710000000000001E-2</v>
      </c>
      <c r="BB307">
        <v>1</v>
      </c>
      <c r="BC307" t="s">
        <v>70</v>
      </c>
      <c r="BD307">
        <v>1.407</v>
      </c>
      <c r="BE307">
        <v>0.82599999999999996</v>
      </c>
      <c r="BF307" t="s">
        <v>71</v>
      </c>
      <c r="BG307">
        <v>0.17391304347826</v>
      </c>
      <c r="BI307">
        <v>27</v>
      </c>
      <c r="BJ307">
        <v>2.6710000000000001E-2</v>
      </c>
      <c r="BK307">
        <v>0.17391304347826</v>
      </c>
    </row>
    <row r="308" spans="1:63">
      <c r="A308">
        <v>1657</v>
      </c>
      <c r="B308" t="s">
        <v>1805</v>
      </c>
      <c r="D308" t="s">
        <v>60</v>
      </c>
      <c r="E308">
        <v>1697651</v>
      </c>
      <c r="F308">
        <v>1698262</v>
      </c>
      <c r="G308" t="s">
        <v>1807</v>
      </c>
      <c r="H308">
        <v>204</v>
      </c>
      <c r="I308" t="s">
        <v>63</v>
      </c>
      <c r="J308">
        <v>5</v>
      </c>
      <c r="K308" t="str">
        <f>HYPERLINK("Gene1657-zp_tree_all.dnd", "Gene1657-tree")</f>
        <v>Gene1657-tree</v>
      </c>
      <c r="L308">
        <v>3</v>
      </c>
      <c r="M308">
        <v>2</v>
      </c>
      <c r="N308">
        <v>3</v>
      </c>
      <c r="O308">
        <v>2</v>
      </c>
      <c r="P308">
        <v>0.4</v>
      </c>
      <c r="Q308" t="s">
        <v>86</v>
      </c>
      <c r="R308" t="s">
        <v>124</v>
      </c>
      <c r="S308" t="s">
        <v>66</v>
      </c>
      <c r="T308" t="s">
        <v>66</v>
      </c>
      <c r="U308">
        <v>0</v>
      </c>
      <c r="V308">
        <v>0</v>
      </c>
      <c r="W308">
        <v>13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13</v>
      </c>
      <c r="AH308">
        <v>0</v>
      </c>
      <c r="AI308">
        <v>3</v>
      </c>
      <c r="AJ308">
        <v>2</v>
      </c>
      <c r="AK308">
        <v>7</v>
      </c>
      <c r="AL308">
        <v>2</v>
      </c>
      <c r="AM308">
        <v>14</v>
      </c>
      <c r="AN308">
        <v>13</v>
      </c>
      <c r="AO308" t="s">
        <v>1808</v>
      </c>
      <c r="AP308" t="s">
        <v>1809</v>
      </c>
      <c r="AQ308">
        <v>0.54800000000000004</v>
      </c>
      <c r="AR308" t="s">
        <v>69</v>
      </c>
      <c r="AS308">
        <v>21</v>
      </c>
      <c r="AT308">
        <v>15</v>
      </c>
      <c r="AU308">
        <v>3.2349999999999997E-2</v>
      </c>
      <c r="AV308">
        <v>-7.1700000000000002E-3</v>
      </c>
      <c r="AW308">
        <v>9.2429999999999998E-2</v>
      </c>
      <c r="AX308">
        <v>-1.9369999999999998E-2</v>
      </c>
      <c r="AY308">
        <v>1.8270000000000002E-2</v>
      </c>
      <c r="AZ308">
        <v>-4.4600000000000004E-3</v>
      </c>
      <c r="BA308">
        <v>0.19772999999999999</v>
      </c>
      <c r="BB308">
        <v>1</v>
      </c>
      <c r="BC308" t="s">
        <v>70</v>
      </c>
      <c r="BD308">
        <v>1.095</v>
      </c>
      <c r="BE308">
        <v>1.095</v>
      </c>
      <c r="BF308" t="s">
        <v>71</v>
      </c>
      <c r="BG308">
        <v>0.104</v>
      </c>
      <c r="BI308">
        <v>36</v>
      </c>
      <c r="BJ308">
        <v>0.19772999999999999</v>
      </c>
      <c r="BK308">
        <v>0.104</v>
      </c>
    </row>
    <row r="309" spans="1:63">
      <c r="A309">
        <v>1663</v>
      </c>
      <c r="B309" t="s">
        <v>1812</v>
      </c>
      <c r="D309" t="s">
        <v>60</v>
      </c>
      <c r="E309">
        <v>1701684</v>
      </c>
      <c r="F309">
        <v>1702679</v>
      </c>
      <c r="G309" t="s">
        <v>1814</v>
      </c>
      <c r="H309">
        <v>332</v>
      </c>
      <c r="I309" t="s">
        <v>63</v>
      </c>
      <c r="J309">
        <v>5</v>
      </c>
      <c r="K309" t="str">
        <f>HYPERLINK("Gene1663-zp_tree_all.dnd", "Gene1663-tree")</f>
        <v>Gene1663-tree</v>
      </c>
      <c r="L309">
        <v>5</v>
      </c>
      <c r="M309">
        <v>0</v>
      </c>
      <c r="N309">
        <v>5</v>
      </c>
      <c r="O309">
        <v>0</v>
      </c>
      <c r="P309">
        <v>0</v>
      </c>
      <c r="Q309" t="s">
        <v>96</v>
      </c>
      <c r="R309" t="s">
        <v>66</v>
      </c>
      <c r="S309" t="s">
        <v>66</v>
      </c>
      <c r="T309" t="s">
        <v>66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5</v>
      </c>
      <c r="AJ309">
        <v>2</v>
      </c>
      <c r="AK309">
        <v>26</v>
      </c>
      <c r="AL309">
        <v>0</v>
      </c>
      <c r="AM309">
        <v>34</v>
      </c>
      <c r="AN309">
        <v>0</v>
      </c>
      <c r="AO309" t="s">
        <v>68</v>
      </c>
      <c r="AP309" t="s">
        <v>68</v>
      </c>
      <c r="AQ309">
        <v>0</v>
      </c>
      <c r="AR309" t="s">
        <v>69</v>
      </c>
      <c r="AS309">
        <v>60</v>
      </c>
      <c r="AT309">
        <v>0</v>
      </c>
      <c r="AU309">
        <v>3.0419999999999999E-2</v>
      </c>
      <c r="AV309">
        <v>-5.2100000000000002E-3</v>
      </c>
      <c r="AW309">
        <v>0.15806000000000001</v>
      </c>
      <c r="AX309">
        <v>-2.8320000000000001E-2</v>
      </c>
      <c r="AY309">
        <v>0</v>
      </c>
      <c r="AZ309">
        <v>0</v>
      </c>
      <c r="BA309">
        <v>0</v>
      </c>
      <c r="BB309">
        <v>1</v>
      </c>
      <c r="BC309" t="s">
        <v>70</v>
      </c>
      <c r="BD309">
        <v>0.66800000000000004</v>
      </c>
      <c r="BE309">
        <v>0.42399999999999999</v>
      </c>
      <c r="BF309" t="s">
        <v>71</v>
      </c>
      <c r="BG309">
        <v>9.5354523227383803E-2</v>
      </c>
      <c r="BI309">
        <v>60</v>
      </c>
      <c r="BJ309">
        <v>0</v>
      </c>
      <c r="BK309">
        <v>9.5354523227383803E-2</v>
      </c>
    </row>
    <row r="310" spans="1:63">
      <c r="A310">
        <v>1666</v>
      </c>
      <c r="B310" t="s">
        <v>1815</v>
      </c>
      <c r="D310" t="s">
        <v>60</v>
      </c>
      <c r="E310">
        <v>1704211</v>
      </c>
      <c r="F310">
        <v>1704867</v>
      </c>
      <c r="G310" t="s">
        <v>1817</v>
      </c>
      <c r="H310">
        <v>219</v>
      </c>
      <c r="I310" t="s">
        <v>63</v>
      </c>
      <c r="J310">
        <v>5</v>
      </c>
      <c r="K310" t="str">
        <f>HYPERLINK("Gene1666-zp_tree_all.dnd", "Gene1666-tree")</f>
        <v>Gene1666-tree</v>
      </c>
      <c r="L310">
        <v>1</v>
      </c>
      <c r="M310">
        <v>4</v>
      </c>
      <c r="N310">
        <v>1</v>
      </c>
      <c r="O310">
        <v>4</v>
      </c>
      <c r="P310">
        <v>0.8</v>
      </c>
      <c r="Q310" t="s">
        <v>65</v>
      </c>
      <c r="R310" t="s">
        <v>64</v>
      </c>
      <c r="S310" t="s">
        <v>66</v>
      </c>
      <c r="T310" t="s">
        <v>66</v>
      </c>
      <c r="U310">
        <v>0</v>
      </c>
      <c r="V310">
        <v>0</v>
      </c>
      <c r="W310">
        <v>10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10</v>
      </c>
      <c r="AH310">
        <v>0</v>
      </c>
      <c r="AI310">
        <v>5</v>
      </c>
      <c r="AJ310">
        <v>2</v>
      </c>
      <c r="AK310">
        <v>9</v>
      </c>
      <c r="AL310">
        <v>6</v>
      </c>
      <c r="AM310">
        <v>11</v>
      </c>
      <c r="AN310">
        <v>4</v>
      </c>
      <c r="AO310" t="s">
        <v>1818</v>
      </c>
      <c r="AP310" t="s">
        <v>1819</v>
      </c>
      <c r="AQ310">
        <v>0.66300000000000003</v>
      </c>
      <c r="AR310" t="s">
        <v>69</v>
      </c>
      <c r="AS310">
        <v>20</v>
      </c>
      <c r="AT310">
        <v>10</v>
      </c>
      <c r="AU310">
        <v>2.222E-2</v>
      </c>
      <c r="AV310">
        <v>-3.29E-3</v>
      </c>
      <c r="AW310">
        <v>7.4840000000000004E-2</v>
      </c>
      <c r="AX310">
        <v>-1.323E-2</v>
      </c>
      <c r="AY310">
        <v>9.3500000000000007E-3</v>
      </c>
      <c r="AZ310">
        <v>-1.1999999999999999E-3</v>
      </c>
      <c r="BA310">
        <v>0.12486999999999999</v>
      </c>
      <c r="BB310">
        <v>1</v>
      </c>
      <c r="BC310" t="s">
        <v>70</v>
      </c>
      <c r="BD310">
        <v>0.36499999999999999</v>
      </c>
      <c r="BE310">
        <v>0.36499999999999999</v>
      </c>
      <c r="BF310" t="s">
        <v>71</v>
      </c>
      <c r="BG310">
        <v>0.14503816793893101</v>
      </c>
      <c r="BI310">
        <v>30</v>
      </c>
      <c r="BJ310">
        <v>0.12486999999999999</v>
      </c>
      <c r="BK310">
        <v>0.14503816793893101</v>
      </c>
    </row>
    <row r="311" spans="1:63">
      <c r="A311">
        <v>1667</v>
      </c>
      <c r="B311" t="s">
        <v>1820</v>
      </c>
      <c r="D311" t="s">
        <v>60</v>
      </c>
      <c r="E311">
        <v>1704863</v>
      </c>
      <c r="F311">
        <v>1705525</v>
      </c>
      <c r="G311" t="s">
        <v>1822</v>
      </c>
      <c r="H311">
        <v>221</v>
      </c>
      <c r="I311" t="s">
        <v>63</v>
      </c>
      <c r="J311">
        <v>5</v>
      </c>
      <c r="K311" t="str">
        <f>HYPERLINK("Gene1667-zp_tree_all.dnd", "Gene1667-tree")</f>
        <v>Gene1667-tree</v>
      </c>
      <c r="L311">
        <v>4</v>
      </c>
      <c r="M311">
        <v>1</v>
      </c>
      <c r="N311">
        <v>3</v>
      </c>
      <c r="O311">
        <v>1</v>
      </c>
      <c r="P311">
        <v>0.25</v>
      </c>
      <c r="Q311" t="s">
        <v>112</v>
      </c>
      <c r="R311" t="s">
        <v>65</v>
      </c>
      <c r="S311" t="s">
        <v>66</v>
      </c>
      <c r="T311" t="s">
        <v>66</v>
      </c>
      <c r="U311">
        <v>0</v>
      </c>
      <c r="V311">
        <v>0</v>
      </c>
      <c r="W311">
        <v>4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3</v>
      </c>
      <c r="AH311">
        <v>0</v>
      </c>
      <c r="AI311">
        <v>4</v>
      </c>
      <c r="AJ311">
        <v>1</v>
      </c>
      <c r="AK311">
        <v>18</v>
      </c>
      <c r="AL311">
        <v>4</v>
      </c>
      <c r="AM311">
        <v>15</v>
      </c>
      <c r="AN311">
        <v>1</v>
      </c>
      <c r="AO311" t="s">
        <v>1823</v>
      </c>
      <c r="AP311" t="s">
        <v>1824</v>
      </c>
      <c r="AQ311">
        <v>0.42699999999999999</v>
      </c>
      <c r="AR311" t="s">
        <v>69</v>
      </c>
      <c r="AS311">
        <v>33</v>
      </c>
      <c r="AT311">
        <v>5</v>
      </c>
      <c r="AU311">
        <v>3.218E-2</v>
      </c>
      <c r="AV311">
        <v>-5.1700000000000001E-3</v>
      </c>
      <c r="AW311">
        <v>0.13966000000000001</v>
      </c>
      <c r="AX311">
        <v>-2.3300000000000001E-2</v>
      </c>
      <c r="AY311">
        <v>5.8300000000000001E-3</v>
      </c>
      <c r="AZ311">
        <v>-1.08E-3</v>
      </c>
      <c r="BA311">
        <v>4.1770000000000002E-2</v>
      </c>
      <c r="BB311">
        <v>1</v>
      </c>
      <c r="BC311" t="s">
        <v>70</v>
      </c>
      <c r="BD311">
        <v>0.35499999999999998</v>
      </c>
      <c r="BE311">
        <v>0.186</v>
      </c>
      <c r="BF311" t="s">
        <v>71</v>
      </c>
      <c r="BG311">
        <v>6.5573770491803199E-2</v>
      </c>
      <c r="BI311">
        <v>38</v>
      </c>
      <c r="BJ311">
        <v>4.1770000000000002E-2</v>
      </c>
      <c r="BK311">
        <v>6.5573770491803199E-2</v>
      </c>
    </row>
    <row r="312" spans="1:63">
      <c r="A312">
        <v>1676</v>
      </c>
      <c r="B312" t="s">
        <v>1828</v>
      </c>
      <c r="D312" t="s">
        <v>60</v>
      </c>
      <c r="E312">
        <v>1714855</v>
      </c>
      <c r="F312">
        <v>1715322</v>
      </c>
      <c r="G312" t="s">
        <v>1830</v>
      </c>
      <c r="H312">
        <v>156</v>
      </c>
      <c r="I312" t="s">
        <v>63</v>
      </c>
      <c r="J312">
        <v>5</v>
      </c>
      <c r="K312" t="str">
        <f>HYPERLINK("Gene1676-zp_tree_all.dnd", "Gene1676-tree")</f>
        <v>Gene1676-tree</v>
      </c>
      <c r="L312">
        <v>4</v>
      </c>
      <c r="M312">
        <v>1</v>
      </c>
      <c r="N312">
        <v>3</v>
      </c>
      <c r="O312">
        <v>1</v>
      </c>
      <c r="P312">
        <v>0.25</v>
      </c>
      <c r="Q312" t="s">
        <v>112</v>
      </c>
      <c r="R312" t="s">
        <v>65</v>
      </c>
      <c r="S312" t="s">
        <v>66</v>
      </c>
      <c r="T312" t="s">
        <v>66</v>
      </c>
      <c r="U312">
        <v>0</v>
      </c>
      <c r="V312">
        <v>0</v>
      </c>
      <c r="W312">
        <v>5</v>
      </c>
      <c r="X312">
        <v>0</v>
      </c>
      <c r="Y312">
        <v>0</v>
      </c>
      <c r="Z312">
        <v>0</v>
      </c>
      <c r="AA312">
        <v>0</v>
      </c>
      <c r="AB312">
        <v>4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4</v>
      </c>
      <c r="AJ312">
        <v>1</v>
      </c>
      <c r="AK312">
        <v>10</v>
      </c>
      <c r="AL312">
        <v>1</v>
      </c>
      <c r="AM312">
        <v>10</v>
      </c>
      <c r="AN312">
        <v>4</v>
      </c>
      <c r="AO312" t="s">
        <v>1831</v>
      </c>
      <c r="AP312" t="s">
        <v>1832</v>
      </c>
      <c r="AQ312">
        <v>1.7689999999999999</v>
      </c>
      <c r="AR312" t="s">
        <v>69</v>
      </c>
      <c r="AS312">
        <v>20</v>
      </c>
      <c r="AT312">
        <v>5</v>
      </c>
      <c r="AU312">
        <v>3.0980000000000001E-2</v>
      </c>
      <c r="AV312">
        <v>-5.7099999999999998E-3</v>
      </c>
      <c r="AW312">
        <v>0.11846</v>
      </c>
      <c r="AX312">
        <v>-2.0559999999999998E-2</v>
      </c>
      <c r="AY312">
        <v>8.7899999999999992E-3</v>
      </c>
      <c r="AZ312">
        <v>-1.66E-3</v>
      </c>
      <c r="BA312">
        <v>7.4200000000000002E-2</v>
      </c>
      <c r="BB312">
        <v>1</v>
      </c>
      <c r="BC312" t="s">
        <v>70</v>
      </c>
      <c r="BD312">
        <v>0.89100000000000001</v>
      </c>
      <c r="BE312">
        <v>0.56799999999999995</v>
      </c>
      <c r="BF312" t="s">
        <v>71</v>
      </c>
      <c r="BG312">
        <v>0.18947368421052599</v>
      </c>
      <c r="BI312">
        <v>25</v>
      </c>
      <c r="BJ312">
        <v>7.4200000000000002E-2</v>
      </c>
      <c r="BK312">
        <v>0.18947368421052599</v>
      </c>
    </row>
    <row r="313" spans="1:63">
      <c r="A313">
        <v>1677</v>
      </c>
      <c r="B313" t="s">
        <v>1833</v>
      </c>
      <c r="D313" t="s">
        <v>60</v>
      </c>
      <c r="E313">
        <v>1715344</v>
      </c>
      <c r="F313">
        <v>1715970</v>
      </c>
      <c r="G313" t="s">
        <v>1835</v>
      </c>
      <c r="H313">
        <v>209</v>
      </c>
      <c r="I313" t="s">
        <v>63</v>
      </c>
      <c r="J313">
        <v>5</v>
      </c>
      <c r="K313" t="str">
        <f>HYPERLINK("Gene1677-zp_tree_all.dnd", "Gene1677-tree")</f>
        <v>Gene1677-tree</v>
      </c>
      <c r="L313">
        <v>5</v>
      </c>
      <c r="M313">
        <v>0</v>
      </c>
      <c r="N313">
        <v>5</v>
      </c>
      <c r="O313">
        <v>0</v>
      </c>
      <c r="P313">
        <v>0</v>
      </c>
      <c r="Q313" t="s">
        <v>96</v>
      </c>
      <c r="R313" t="s">
        <v>66</v>
      </c>
      <c r="S313" t="s">
        <v>66</v>
      </c>
      <c r="T313" t="s">
        <v>66</v>
      </c>
      <c r="U313">
        <v>0</v>
      </c>
      <c r="V313">
        <v>0</v>
      </c>
      <c r="W313">
        <v>2</v>
      </c>
      <c r="X313">
        <v>0</v>
      </c>
      <c r="Y313">
        <v>0</v>
      </c>
      <c r="Z313">
        <v>0</v>
      </c>
      <c r="AA313">
        <v>0</v>
      </c>
      <c r="AB313">
        <v>2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4</v>
      </c>
      <c r="AJ313">
        <v>2</v>
      </c>
      <c r="AK313">
        <v>16</v>
      </c>
      <c r="AL313">
        <v>0</v>
      </c>
      <c r="AM313">
        <v>16</v>
      </c>
      <c r="AN313">
        <v>2</v>
      </c>
      <c r="AO313" t="s">
        <v>68</v>
      </c>
      <c r="AP313" t="s">
        <v>1836</v>
      </c>
      <c r="AQ313">
        <v>0.79400000000000004</v>
      </c>
      <c r="AR313" t="s">
        <v>69</v>
      </c>
      <c r="AS313">
        <v>32</v>
      </c>
      <c r="AT313">
        <v>2</v>
      </c>
      <c r="AU313">
        <v>2.6950000000000002E-2</v>
      </c>
      <c r="AV313">
        <v>-4.79E-3</v>
      </c>
      <c r="AW313">
        <v>0.13091</v>
      </c>
      <c r="AX313">
        <v>-2.3470000000000001E-2</v>
      </c>
      <c r="AY313">
        <v>2.4399999999999999E-3</v>
      </c>
      <c r="AZ313">
        <v>-5.8E-4</v>
      </c>
      <c r="BA313">
        <v>1.865E-2</v>
      </c>
      <c r="BB313">
        <v>1</v>
      </c>
      <c r="BC313" t="s">
        <v>70</v>
      </c>
      <c r="BD313">
        <v>0.501</v>
      </c>
      <c r="BE313">
        <v>0.26500000000000001</v>
      </c>
      <c r="BF313" t="s">
        <v>71</v>
      </c>
      <c r="BG313">
        <v>0.128919860627177</v>
      </c>
      <c r="BI313">
        <v>34</v>
      </c>
      <c r="BJ313">
        <v>1.865E-2</v>
      </c>
      <c r="BK313">
        <v>0.128919860627177</v>
      </c>
    </row>
    <row r="314" spans="1:63">
      <c r="A314">
        <v>1678</v>
      </c>
      <c r="B314" t="s">
        <v>1837</v>
      </c>
      <c r="D314" t="s">
        <v>60</v>
      </c>
      <c r="E314">
        <v>1715970</v>
      </c>
      <c r="F314">
        <v>1716467</v>
      </c>
      <c r="G314" t="s">
        <v>1839</v>
      </c>
      <c r="H314">
        <v>166</v>
      </c>
      <c r="I314" t="s">
        <v>63</v>
      </c>
      <c r="J314">
        <v>5</v>
      </c>
      <c r="K314" t="str">
        <f>HYPERLINK("Gene1678-zp_tree_all.dnd", "Gene1678-tree")</f>
        <v>Gene1678-tree</v>
      </c>
      <c r="L314">
        <v>3</v>
      </c>
      <c r="M314">
        <v>2</v>
      </c>
      <c r="N314">
        <v>3</v>
      </c>
      <c r="O314">
        <v>1</v>
      </c>
      <c r="P314">
        <v>0.25</v>
      </c>
      <c r="Q314" t="s">
        <v>86</v>
      </c>
      <c r="R314" t="s">
        <v>65</v>
      </c>
      <c r="S314" t="s">
        <v>66</v>
      </c>
      <c r="T314" t="s">
        <v>66</v>
      </c>
      <c r="U314">
        <v>0</v>
      </c>
      <c r="V314">
        <v>0</v>
      </c>
      <c r="W314">
        <v>3</v>
      </c>
      <c r="X314">
        <v>0</v>
      </c>
      <c r="Y314">
        <v>0</v>
      </c>
      <c r="Z314">
        <v>0</v>
      </c>
      <c r="AA314">
        <v>0</v>
      </c>
      <c r="AB314">
        <v>2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4</v>
      </c>
      <c r="AJ314">
        <v>1</v>
      </c>
      <c r="AK314">
        <v>15</v>
      </c>
      <c r="AL314">
        <v>1</v>
      </c>
      <c r="AM314">
        <v>12</v>
      </c>
      <c r="AN314">
        <v>2</v>
      </c>
      <c r="AO314" t="s">
        <v>1840</v>
      </c>
      <c r="AP314" t="s">
        <v>1841</v>
      </c>
      <c r="AQ314">
        <v>0.84299999999999997</v>
      </c>
      <c r="AR314" t="s">
        <v>69</v>
      </c>
      <c r="AS314">
        <v>27</v>
      </c>
      <c r="AT314">
        <v>3</v>
      </c>
      <c r="AU314">
        <v>3.4139999999999997E-2</v>
      </c>
      <c r="AV314">
        <v>-5.4599999999999996E-3</v>
      </c>
      <c r="AW314">
        <v>0.14419999999999999</v>
      </c>
      <c r="AX314">
        <v>-2.3859999999999999E-2</v>
      </c>
      <c r="AY314">
        <v>4.8399999999999997E-3</v>
      </c>
      <c r="AZ314">
        <v>-1.15E-3</v>
      </c>
      <c r="BA314">
        <v>3.354E-2</v>
      </c>
      <c r="BB314">
        <v>1</v>
      </c>
      <c r="BC314" t="s">
        <v>70</v>
      </c>
      <c r="BD314">
        <v>0.57999999999999996</v>
      </c>
      <c r="BE314">
        <v>0.57999999999999996</v>
      </c>
      <c r="BF314" t="s">
        <v>71</v>
      </c>
      <c r="BG314">
        <v>0.154185022026431</v>
      </c>
      <c r="BI314">
        <v>30</v>
      </c>
      <c r="BJ314">
        <v>3.354E-2</v>
      </c>
      <c r="BK314">
        <v>0.154185022026431</v>
      </c>
    </row>
    <row r="315" spans="1:63">
      <c r="A315">
        <v>1678</v>
      </c>
      <c r="B315" t="s">
        <v>1837</v>
      </c>
      <c r="D315" t="s">
        <v>60</v>
      </c>
      <c r="E315">
        <v>1715970</v>
      </c>
      <c r="F315">
        <v>1716467</v>
      </c>
      <c r="G315" t="s">
        <v>1839</v>
      </c>
      <c r="H315">
        <v>166</v>
      </c>
      <c r="I315" t="s">
        <v>63</v>
      </c>
      <c r="J315">
        <v>5</v>
      </c>
      <c r="K315" t="str">
        <f>HYPERLINK("Gene1678-zp_tree_all.dnd", "Gene1678-tree")</f>
        <v>Gene1678-tree</v>
      </c>
      <c r="L315">
        <v>3</v>
      </c>
      <c r="M315">
        <v>2</v>
      </c>
      <c r="N315">
        <v>3</v>
      </c>
      <c r="O315">
        <v>1</v>
      </c>
      <c r="P315">
        <v>0.25</v>
      </c>
      <c r="Q315" t="s">
        <v>86</v>
      </c>
      <c r="R315" t="s">
        <v>65</v>
      </c>
      <c r="S315" t="s">
        <v>66</v>
      </c>
      <c r="T315" t="s">
        <v>66</v>
      </c>
      <c r="U315">
        <v>0</v>
      </c>
      <c r="V315">
        <v>0</v>
      </c>
      <c r="W315">
        <v>3</v>
      </c>
      <c r="X315">
        <v>0</v>
      </c>
      <c r="Y315">
        <v>0</v>
      </c>
      <c r="Z315">
        <v>0</v>
      </c>
      <c r="AA315">
        <v>0</v>
      </c>
      <c r="AB315">
        <v>2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0</v>
      </c>
      <c r="AI315">
        <v>4</v>
      </c>
      <c r="AJ315">
        <v>1</v>
      </c>
      <c r="AK315">
        <v>15</v>
      </c>
      <c r="AL315">
        <v>1</v>
      </c>
      <c r="AM315">
        <v>12</v>
      </c>
      <c r="AN315">
        <v>2</v>
      </c>
      <c r="AO315" t="s">
        <v>1840</v>
      </c>
      <c r="AP315" t="s">
        <v>1841</v>
      </c>
      <c r="AQ315">
        <v>0.84299999999999997</v>
      </c>
      <c r="AR315" t="s">
        <v>69</v>
      </c>
      <c r="AS315">
        <v>27</v>
      </c>
      <c r="AT315">
        <v>3</v>
      </c>
      <c r="AU315">
        <v>3.4139999999999997E-2</v>
      </c>
      <c r="AV315">
        <v>-5.4599999999999996E-3</v>
      </c>
      <c r="AW315">
        <v>0.14419999999999999</v>
      </c>
      <c r="AX315">
        <v>-2.3859999999999999E-2</v>
      </c>
      <c r="AY315">
        <v>4.8399999999999997E-3</v>
      </c>
      <c r="AZ315">
        <v>-1.15E-3</v>
      </c>
      <c r="BA315">
        <v>3.354E-2</v>
      </c>
      <c r="BB315">
        <v>1</v>
      </c>
      <c r="BC315" t="s">
        <v>70</v>
      </c>
      <c r="BD315">
        <v>0.57999999999999996</v>
      </c>
      <c r="BE315">
        <v>0.57999999999999996</v>
      </c>
      <c r="BF315" t="s">
        <v>71</v>
      </c>
      <c r="BG315">
        <v>0.154185022026431</v>
      </c>
      <c r="BI315">
        <v>30</v>
      </c>
      <c r="BJ315">
        <v>3.354E-2</v>
      </c>
      <c r="BK315">
        <v>0.154185022026431</v>
      </c>
    </row>
    <row r="316" spans="1:63">
      <c r="A316">
        <v>1679</v>
      </c>
      <c r="B316" t="s">
        <v>1842</v>
      </c>
      <c r="D316" t="s">
        <v>60</v>
      </c>
      <c r="E316">
        <v>1716493</v>
      </c>
      <c r="F316">
        <v>1717254</v>
      </c>
      <c r="G316" t="s">
        <v>1844</v>
      </c>
      <c r="H316">
        <v>254</v>
      </c>
      <c r="I316" t="s">
        <v>63</v>
      </c>
      <c r="J316">
        <v>5</v>
      </c>
      <c r="K316" t="str">
        <f>HYPERLINK("Gene1679-zp_tree_all.dnd", "Gene1679-tree")</f>
        <v>Gene1679-tree</v>
      </c>
      <c r="L316">
        <v>4</v>
      </c>
      <c r="M316">
        <v>1</v>
      </c>
      <c r="N316">
        <v>3</v>
      </c>
      <c r="O316">
        <v>1</v>
      </c>
      <c r="P316">
        <v>0.25</v>
      </c>
      <c r="Q316" t="s">
        <v>112</v>
      </c>
      <c r="R316" t="s">
        <v>65</v>
      </c>
      <c r="S316" t="s">
        <v>66</v>
      </c>
      <c r="T316" t="s">
        <v>66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4</v>
      </c>
      <c r="AJ316">
        <v>1</v>
      </c>
      <c r="AK316">
        <v>15</v>
      </c>
      <c r="AL316">
        <v>1</v>
      </c>
      <c r="AM316">
        <v>11</v>
      </c>
      <c r="AN316">
        <v>0</v>
      </c>
      <c r="AO316" t="s">
        <v>1845</v>
      </c>
      <c r="AP316" t="s">
        <v>68</v>
      </c>
      <c r="AQ316">
        <v>0.56699999999999995</v>
      </c>
      <c r="AR316" t="s">
        <v>69</v>
      </c>
      <c r="AS316">
        <v>26</v>
      </c>
      <c r="AT316">
        <v>1</v>
      </c>
      <c r="AU316">
        <v>1.9689999999999999E-2</v>
      </c>
      <c r="AV316">
        <v>-3.2000000000000002E-3</v>
      </c>
      <c r="AW316">
        <v>9.3890000000000001E-2</v>
      </c>
      <c r="AX316">
        <v>-1.626E-2</v>
      </c>
      <c r="AY316">
        <v>8.4000000000000003E-4</v>
      </c>
      <c r="AZ316">
        <v>-2.4000000000000001E-4</v>
      </c>
      <c r="BA316">
        <v>8.9499999999999996E-3</v>
      </c>
      <c r="BB316">
        <v>1</v>
      </c>
      <c r="BC316" t="s">
        <v>70</v>
      </c>
      <c r="BD316">
        <v>0.31</v>
      </c>
      <c r="BE316">
        <v>0.31</v>
      </c>
      <c r="BF316" t="s">
        <v>71</v>
      </c>
      <c r="BG316">
        <v>0.10216718266253801</v>
      </c>
      <c r="BI316">
        <v>27</v>
      </c>
      <c r="BJ316">
        <v>8.9499999999999996E-3</v>
      </c>
      <c r="BK316">
        <v>0.10216718266253801</v>
      </c>
    </row>
    <row r="317" spans="1:63">
      <c r="A317">
        <v>1681</v>
      </c>
      <c r="B317" t="s">
        <v>1846</v>
      </c>
      <c r="D317" t="s">
        <v>60</v>
      </c>
      <c r="E317">
        <v>1717933</v>
      </c>
      <c r="F317">
        <v>1718670</v>
      </c>
      <c r="G317" t="s">
        <v>1848</v>
      </c>
      <c r="H317">
        <v>246</v>
      </c>
      <c r="I317" t="s">
        <v>63</v>
      </c>
      <c r="J317">
        <v>5</v>
      </c>
      <c r="K317" t="str">
        <f>HYPERLINK("Gene1681-zp_tree_all.dnd", "Gene1681-tree")</f>
        <v>Gene1681-tree</v>
      </c>
      <c r="L317">
        <v>5</v>
      </c>
      <c r="M317">
        <v>0</v>
      </c>
      <c r="N317">
        <v>4</v>
      </c>
      <c r="O317">
        <v>0</v>
      </c>
      <c r="P317">
        <v>0</v>
      </c>
      <c r="Q317" t="s">
        <v>135</v>
      </c>
      <c r="R317" t="s">
        <v>66</v>
      </c>
      <c r="S317" t="s">
        <v>66</v>
      </c>
      <c r="T317" t="s">
        <v>66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3</v>
      </c>
      <c r="AJ317">
        <v>1</v>
      </c>
      <c r="AK317">
        <v>7</v>
      </c>
      <c r="AL317">
        <v>0</v>
      </c>
      <c r="AM317">
        <v>2</v>
      </c>
      <c r="AN317">
        <v>0</v>
      </c>
      <c r="AO317" t="s">
        <v>68</v>
      </c>
      <c r="AP317" t="s">
        <v>68</v>
      </c>
      <c r="AQ317">
        <v>0</v>
      </c>
      <c r="AR317" t="s">
        <v>69</v>
      </c>
      <c r="AS317">
        <v>9</v>
      </c>
      <c r="AT317">
        <v>0</v>
      </c>
      <c r="AU317">
        <v>6.5500000000000003E-3</v>
      </c>
      <c r="AV317">
        <v>-1.08E-3</v>
      </c>
      <c r="AW317">
        <v>3.0679999999999999E-2</v>
      </c>
      <c r="AX317">
        <v>-5.1000000000000004E-3</v>
      </c>
      <c r="AY317">
        <v>0</v>
      </c>
      <c r="AZ317">
        <v>0</v>
      </c>
      <c r="BA317">
        <v>0</v>
      </c>
      <c r="BB317">
        <v>1</v>
      </c>
      <c r="BC317" t="s">
        <v>70</v>
      </c>
      <c r="BD317">
        <v>-0.19700000000000001</v>
      </c>
      <c r="BE317">
        <v>-0.19700000000000001</v>
      </c>
      <c r="BF317" t="s">
        <v>71</v>
      </c>
      <c r="BG317">
        <v>-1.00334448160535E-2</v>
      </c>
      <c r="BI317">
        <v>9</v>
      </c>
      <c r="BJ317">
        <v>0</v>
      </c>
      <c r="BK317">
        <v>-1.00334448160535E-2</v>
      </c>
    </row>
    <row r="318" spans="1:63">
      <c r="A318">
        <v>1682</v>
      </c>
      <c r="B318" t="s">
        <v>1849</v>
      </c>
      <c r="D318" t="s">
        <v>60</v>
      </c>
      <c r="E318">
        <v>1718775</v>
      </c>
      <c r="F318">
        <v>1719653</v>
      </c>
      <c r="G318" t="s">
        <v>1851</v>
      </c>
      <c r="H318">
        <v>293</v>
      </c>
      <c r="I318" t="s">
        <v>63</v>
      </c>
      <c r="J318">
        <v>5</v>
      </c>
      <c r="K318" t="str">
        <f>HYPERLINK("Gene1682-zp_tree_all.dnd", "Gene1682-tree")</f>
        <v>Gene1682-tree</v>
      </c>
      <c r="L318">
        <v>4</v>
      </c>
      <c r="M318">
        <v>1</v>
      </c>
      <c r="N318">
        <v>4</v>
      </c>
      <c r="O318">
        <v>1</v>
      </c>
      <c r="P318">
        <v>0.2</v>
      </c>
      <c r="Q318" t="s">
        <v>64</v>
      </c>
      <c r="R318" t="s">
        <v>65</v>
      </c>
      <c r="S318" t="s">
        <v>66</v>
      </c>
      <c r="T318" t="s">
        <v>66</v>
      </c>
      <c r="U318">
        <v>0</v>
      </c>
      <c r="V318">
        <v>0</v>
      </c>
      <c r="W318">
        <v>6</v>
      </c>
      <c r="X318">
        <v>0</v>
      </c>
      <c r="Y318">
        <v>0</v>
      </c>
      <c r="Z318">
        <v>0</v>
      </c>
      <c r="AA318">
        <v>0</v>
      </c>
      <c r="AB318">
        <v>4</v>
      </c>
      <c r="AC318">
        <v>0</v>
      </c>
      <c r="AD318">
        <v>0</v>
      </c>
      <c r="AE318">
        <v>0</v>
      </c>
      <c r="AF318">
        <v>0</v>
      </c>
      <c r="AG318">
        <v>2</v>
      </c>
      <c r="AH318">
        <v>0</v>
      </c>
      <c r="AI318">
        <v>4</v>
      </c>
      <c r="AJ318">
        <v>2</v>
      </c>
      <c r="AK318">
        <v>12</v>
      </c>
      <c r="AL318">
        <v>2</v>
      </c>
      <c r="AM318">
        <v>19</v>
      </c>
      <c r="AN318">
        <v>4</v>
      </c>
      <c r="AO318" t="s">
        <v>1852</v>
      </c>
      <c r="AP318" t="s">
        <v>1853</v>
      </c>
      <c r="AQ318">
        <v>0.1</v>
      </c>
      <c r="AR318" t="s">
        <v>69</v>
      </c>
      <c r="AS318">
        <v>31</v>
      </c>
      <c r="AT318">
        <v>6</v>
      </c>
      <c r="AU318">
        <v>2.162E-2</v>
      </c>
      <c r="AV318">
        <v>-3.81E-3</v>
      </c>
      <c r="AW318">
        <v>8.7499999999999994E-2</v>
      </c>
      <c r="AX318">
        <v>-1.5270000000000001E-2</v>
      </c>
      <c r="AY318">
        <v>4.7000000000000002E-3</v>
      </c>
      <c r="AZ318">
        <v>-1.1199999999999999E-3</v>
      </c>
      <c r="BA318">
        <v>5.3699999999999998E-2</v>
      </c>
      <c r="BB318">
        <v>1</v>
      </c>
      <c r="BC318" t="s">
        <v>70</v>
      </c>
      <c r="BD318">
        <v>0.98199999999999998</v>
      </c>
      <c r="BE318">
        <v>0.80400000000000005</v>
      </c>
      <c r="BF318" t="s">
        <v>71</v>
      </c>
      <c r="BG318">
        <v>4.3956043956043897E-2</v>
      </c>
      <c r="BI318">
        <v>37</v>
      </c>
      <c r="BJ318">
        <v>5.3699999999999998E-2</v>
      </c>
      <c r="BK318">
        <v>4.3956043956043897E-2</v>
      </c>
    </row>
    <row r="319" spans="1:63">
      <c r="A319">
        <v>1683</v>
      </c>
      <c r="B319" t="s">
        <v>1854</v>
      </c>
      <c r="D319" t="s">
        <v>60</v>
      </c>
      <c r="E319">
        <v>1719802</v>
      </c>
      <c r="F319">
        <v>1720521</v>
      </c>
      <c r="G319" t="s">
        <v>1856</v>
      </c>
      <c r="H319">
        <v>240</v>
      </c>
      <c r="I319" t="s">
        <v>63</v>
      </c>
      <c r="J319">
        <v>5</v>
      </c>
      <c r="K319" t="str">
        <f>HYPERLINK("Gene1683-zp_tree_all.dnd", "Gene1683-tree")</f>
        <v>Gene1683-tree</v>
      </c>
      <c r="L319">
        <v>5</v>
      </c>
      <c r="M319">
        <v>0</v>
      </c>
      <c r="N319">
        <v>5</v>
      </c>
      <c r="O319">
        <v>0</v>
      </c>
      <c r="P319">
        <v>0</v>
      </c>
      <c r="Q319" t="s">
        <v>96</v>
      </c>
      <c r="R319" t="s">
        <v>66</v>
      </c>
      <c r="S319" t="s">
        <v>66</v>
      </c>
      <c r="T319" t="s">
        <v>66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4</v>
      </c>
      <c r="AJ319">
        <v>2</v>
      </c>
      <c r="AK319">
        <v>12</v>
      </c>
      <c r="AL319">
        <v>0</v>
      </c>
      <c r="AM319">
        <v>12</v>
      </c>
      <c r="AN319">
        <v>0</v>
      </c>
      <c r="AO319" t="s">
        <v>68</v>
      </c>
      <c r="AP319" t="s">
        <v>68</v>
      </c>
      <c r="AQ319">
        <v>0</v>
      </c>
      <c r="AR319" t="s">
        <v>69</v>
      </c>
      <c r="AS319">
        <v>24</v>
      </c>
      <c r="AT319">
        <v>0</v>
      </c>
      <c r="AU319">
        <v>1.6670000000000001E-2</v>
      </c>
      <c r="AV319">
        <v>-2.7599999999999999E-3</v>
      </c>
      <c r="AW319">
        <v>7.5130000000000002E-2</v>
      </c>
      <c r="AX319">
        <v>-1.2749999999999999E-2</v>
      </c>
      <c r="AY319">
        <v>0</v>
      </c>
      <c r="AZ319">
        <v>0</v>
      </c>
      <c r="BA319">
        <v>0</v>
      </c>
      <c r="BB319">
        <v>1</v>
      </c>
      <c r="BC319" t="s">
        <v>70</v>
      </c>
      <c r="BD319">
        <v>0.31</v>
      </c>
      <c r="BE319">
        <v>0.31</v>
      </c>
      <c r="BF319" t="s">
        <v>71</v>
      </c>
      <c r="BG319">
        <v>0.13479623824451401</v>
      </c>
      <c r="BI319">
        <v>24</v>
      </c>
      <c r="BJ319">
        <v>0</v>
      </c>
      <c r="BK319">
        <v>0.13479623824451401</v>
      </c>
    </row>
    <row r="320" spans="1:63">
      <c r="A320">
        <v>1684</v>
      </c>
      <c r="B320" t="s">
        <v>1857</v>
      </c>
      <c r="D320" t="s">
        <v>60</v>
      </c>
      <c r="E320">
        <v>1720526</v>
      </c>
      <c r="F320">
        <v>1721080</v>
      </c>
      <c r="G320" t="s">
        <v>1859</v>
      </c>
      <c r="H320">
        <v>185</v>
      </c>
      <c r="I320" t="s">
        <v>63</v>
      </c>
      <c r="J320">
        <v>5</v>
      </c>
      <c r="K320" t="str">
        <f>HYPERLINK("Gene1684-zp_tree_all.dnd", "Gene1684-tree")</f>
        <v>Gene1684-tree</v>
      </c>
      <c r="L320">
        <v>4</v>
      </c>
      <c r="M320">
        <v>1</v>
      </c>
      <c r="N320">
        <v>4</v>
      </c>
      <c r="O320">
        <v>1</v>
      </c>
      <c r="P320">
        <v>0.2</v>
      </c>
      <c r="Q320" t="s">
        <v>64</v>
      </c>
      <c r="R320" t="s">
        <v>65</v>
      </c>
      <c r="S320" t="s">
        <v>66</v>
      </c>
      <c r="T320" t="s">
        <v>66</v>
      </c>
      <c r="U320">
        <v>0</v>
      </c>
      <c r="V320">
        <v>0</v>
      </c>
      <c r="W320">
        <v>5</v>
      </c>
      <c r="X320">
        <v>0</v>
      </c>
      <c r="Y320">
        <v>0</v>
      </c>
      <c r="Z320">
        <v>0</v>
      </c>
      <c r="AA320">
        <v>0</v>
      </c>
      <c r="AB320">
        <v>4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5</v>
      </c>
      <c r="AJ320">
        <v>1</v>
      </c>
      <c r="AK320">
        <v>14</v>
      </c>
      <c r="AL320">
        <v>1</v>
      </c>
      <c r="AM320">
        <v>15</v>
      </c>
      <c r="AN320">
        <v>4</v>
      </c>
      <c r="AO320" t="s">
        <v>1860</v>
      </c>
      <c r="AP320" t="s">
        <v>1861</v>
      </c>
      <c r="AQ320">
        <v>1.345</v>
      </c>
      <c r="AR320" t="s">
        <v>69</v>
      </c>
      <c r="AS320">
        <v>29</v>
      </c>
      <c r="AT320">
        <v>5</v>
      </c>
      <c r="AU320">
        <v>3.0810000000000001E-2</v>
      </c>
      <c r="AV320">
        <v>-5.3099999999999996E-3</v>
      </c>
      <c r="AW320">
        <v>0.123</v>
      </c>
      <c r="AX320">
        <v>-2.128E-2</v>
      </c>
      <c r="AY320">
        <v>6.62E-3</v>
      </c>
      <c r="AZ320">
        <v>-1.2899999999999999E-3</v>
      </c>
      <c r="BA320">
        <v>5.3780000000000001E-2</v>
      </c>
      <c r="BB320">
        <v>1</v>
      </c>
      <c r="BC320" t="s">
        <v>70</v>
      </c>
      <c r="BD320">
        <v>0.59599999999999997</v>
      </c>
      <c r="BE320">
        <v>0.35899999999999999</v>
      </c>
      <c r="BF320" t="s">
        <v>71</v>
      </c>
      <c r="BG320">
        <v>0.10280373831775701</v>
      </c>
      <c r="BI320">
        <v>34</v>
      </c>
      <c r="BJ320">
        <v>5.3780000000000001E-2</v>
      </c>
      <c r="BK320">
        <v>0.10280373831775701</v>
      </c>
    </row>
    <row r="321" spans="1:63">
      <c r="A321">
        <v>1685</v>
      </c>
      <c r="B321" t="s">
        <v>1862</v>
      </c>
      <c r="D321" t="s">
        <v>60</v>
      </c>
      <c r="E321">
        <v>1721214</v>
      </c>
      <c r="F321">
        <v>1721993</v>
      </c>
      <c r="G321" t="s">
        <v>1864</v>
      </c>
      <c r="H321">
        <v>260</v>
      </c>
      <c r="I321" t="s">
        <v>63</v>
      </c>
      <c r="J321">
        <v>5</v>
      </c>
      <c r="K321" t="str">
        <f>HYPERLINK("Gene1685-zp_tree_all.dnd", "Gene1685-tree")</f>
        <v>Gene1685-tree</v>
      </c>
      <c r="L321">
        <v>3</v>
      </c>
      <c r="M321">
        <v>2</v>
      </c>
      <c r="N321">
        <v>3</v>
      </c>
      <c r="O321">
        <v>2</v>
      </c>
      <c r="P321">
        <v>0.4</v>
      </c>
      <c r="Q321" t="s">
        <v>86</v>
      </c>
      <c r="R321" t="s">
        <v>124</v>
      </c>
      <c r="S321" t="s">
        <v>66</v>
      </c>
      <c r="T321" t="s">
        <v>66</v>
      </c>
      <c r="U321">
        <v>1</v>
      </c>
      <c r="V321">
        <v>2</v>
      </c>
      <c r="W321">
        <v>6</v>
      </c>
      <c r="X321">
        <v>0.25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2</v>
      </c>
      <c r="AF321">
        <v>2</v>
      </c>
      <c r="AG321">
        <v>6</v>
      </c>
      <c r="AH321">
        <v>0.25</v>
      </c>
      <c r="AI321">
        <v>5</v>
      </c>
      <c r="AJ321">
        <v>1</v>
      </c>
      <c r="AK321">
        <v>11</v>
      </c>
      <c r="AL321">
        <v>3</v>
      </c>
      <c r="AM321">
        <v>19</v>
      </c>
      <c r="AN321">
        <v>5</v>
      </c>
      <c r="AO321" t="s">
        <v>1865</v>
      </c>
      <c r="AP321" t="s">
        <v>1866</v>
      </c>
      <c r="AQ321">
        <v>6.6000000000000003E-2</v>
      </c>
      <c r="AR321" t="s">
        <v>69</v>
      </c>
      <c r="AS321">
        <v>30</v>
      </c>
      <c r="AT321">
        <v>8</v>
      </c>
      <c r="AU321">
        <v>2.564E-2</v>
      </c>
      <c r="AV321">
        <v>-5.4200000000000003E-3</v>
      </c>
      <c r="AW321">
        <v>0.1033</v>
      </c>
      <c r="AX321">
        <v>-2.2100000000000002E-2</v>
      </c>
      <c r="AY321">
        <v>6.9199999999999999E-3</v>
      </c>
      <c r="AZ321">
        <v>-1.5399999999999999E-3</v>
      </c>
      <c r="BA321">
        <v>6.6970000000000002E-2</v>
      </c>
      <c r="BB321">
        <v>1</v>
      </c>
      <c r="BC321" t="s">
        <v>70</v>
      </c>
      <c r="BD321">
        <v>0.72499999999999998</v>
      </c>
      <c r="BE321">
        <v>0.72499999999999998</v>
      </c>
      <c r="BF321" t="s">
        <v>71</v>
      </c>
      <c r="BG321">
        <v>0.149700598802395</v>
      </c>
      <c r="BI321">
        <v>38</v>
      </c>
      <c r="BJ321">
        <v>6.6970000000000002E-2</v>
      </c>
      <c r="BK321">
        <v>0.149700598802395</v>
      </c>
    </row>
    <row r="322" spans="1:63">
      <c r="A322">
        <v>1686</v>
      </c>
      <c r="B322" t="s">
        <v>1867</v>
      </c>
      <c r="D322" t="s">
        <v>60</v>
      </c>
      <c r="E322">
        <v>1722000</v>
      </c>
      <c r="F322">
        <v>1722806</v>
      </c>
      <c r="G322" t="s">
        <v>1869</v>
      </c>
      <c r="H322">
        <v>269</v>
      </c>
      <c r="I322" t="s">
        <v>63</v>
      </c>
      <c r="J322">
        <v>5</v>
      </c>
      <c r="K322" t="str">
        <f>HYPERLINK("Gene1686-zp_tree_all.dnd", "Gene1686-tree")</f>
        <v>Gene1686-tree</v>
      </c>
      <c r="L322">
        <v>2</v>
      </c>
      <c r="M322">
        <v>3</v>
      </c>
      <c r="N322">
        <v>2</v>
      </c>
      <c r="O322">
        <v>3</v>
      </c>
      <c r="P322">
        <v>0.6</v>
      </c>
      <c r="Q322" t="s">
        <v>124</v>
      </c>
      <c r="R322" t="s">
        <v>86</v>
      </c>
      <c r="S322" t="s">
        <v>66</v>
      </c>
      <c r="T322" t="s">
        <v>66</v>
      </c>
      <c r="U322">
        <v>0</v>
      </c>
      <c r="V322">
        <v>0</v>
      </c>
      <c r="W322">
        <v>9</v>
      </c>
      <c r="X322">
        <v>0</v>
      </c>
      <c r="Y322">
        <v>0</v>
      </c>
      <c r="Z322">
        <v>0</v>
      </c>
      <c r="AA322">
        <v>0</v>
      </c>
      <c r="AB322">
        <v>5</v>
      </c>
      <c r="AC322">
        <v>0</v>
      </c>
      <c r="AD322">
        <v>0</v>
      </c>
      <c r="AE322">
        <v>0</v>
      </c>
      <c r="AF322">
        <v>0</v>
      </c>
      <c r="AG322">
        <v>4</v>
      </c>
      <c r="AH322">
        <v>0</v>
      </c>
      <c r="AI322">
        <v>5</v>
      </c>
      <c r="AJ322">
        <v>2</v>
      </c>
      <c r="AK322">
        <v>18</v>
      </c>
      <c r="AL322">
        <v>4</v>
      </c>
      <c r="AM322">
        <v>19</v>
      </c>
      <c r="AN322">
        <v>5</v>
      </c>
      <c r="AO322" t="s">
        <v>1870</v>
      </c>
      <c r="AP322" t="s">
        <v>1871</v>
      </c>
      <c r="AQ322">
        <v>0.10100000000000001</v>
      </c>
      <c r="AR322" t="s">
        <v>69</v>
      </c>
      <c r="AS322">
        <v>37</v>
      </c>
      <c r="AT322">
        <v>9</v>
      </c>
      <c r="AU322">
        <v>2.7629999999999998E-2</v>
      </c>
      <c r="AV322">
        <v>-4.4299999999999999E-3</v>
      </c>
      <c r="AW322">
        <v>9.8610000000000003E-2</v>
      </c>
      <c r="AX322">
        <v>-1.6E-2</v>
      </c>
      <c r="AY322">
        <v>7.5599999999999999E-3</v>
      </c>
      <c r="AZ322">
        <v>-1.4E-3</v>
      </c>
      <c r="BA322">
        <v>7.671E-2</v>
      </c>
      <c r="BB322">
        <v>1</v>
      </c>
      <c r="BC322" t="s">
        <v>70</v>
      </c>
      <c r="BD322">
        <v>0.79900000000000004</v>
      </c>
      <c r="BE322">
        <v>0.314</v>
      </c>
      <c r="BF322" t="s">
        <v>71</v>
      </c>
      <c r="BG322">
        <v>0.134146341463414</v>
      </c>
      <c r="BI322">
        <v>46</v>
      </c>
      <c r="BJ322">
        <v>7.671E-2</v>
      </c>
      <c r="BK322">
        <v>0.134146341463414</v>
      </c>
    </row>
    <row r="323" spans="1:63">
      <c r="A323">
        <v>1687</v>
      </c>
      <c r="B323" t="s">
        <v>1872</v>
      </c>
      <c r="D323" t="s">
        <v>60</v>
      </c>
      <c r="E323">
        <v>1722871</v>
      </c>
      <c r="F323">
        <v>1724019</v>
      </c>
      <c r="G323" t="s">
        <v>1874</v>
      </c>
      <c r="H323">
        <v>383</v>
      </c>
      <c r="I323" t="s">
        <v>63</v>
      </c>
      <c r="J323">
        <v>5</v>
      </c>
      <c r="K323" t="str">
        <f>HYPERLINK("Gene1687-zp_tree_all.dnd", "Gene1687-tree")</f>
        <v>Gene1687-tree</v>
      </c>
      <c r="L323">
        <v>3</v>
      </c>
      <c r="M323">
        <v>2</v>
      </c>
      <c r="N323">
        <v>3</v>
      </c>
      <c r="O323">
        <v>2</v>
      </c>
      <c r="P323">
        <v>0.4</v>
      </c>
      <c r="Q323" t="s">
        <v>86</v>
      </c>
      <c r="R323" t="s">
        <v>124</v>
      </c>
      <c r="S323" t="s">
        <v>66</v>
      </c>
      <c r="T323" t="s">
        <v>66</v>
      </c>
      <c r="U323">
        <v>1</v>
      </c>
      <c r="V323">
        <v>2</v>
      </c>
      <c r="W323">
        <v>6</v>
      </c>
      <c r="X323">
        <v>0.25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2</v>
      </c>
      <c r="AF323">
        <v>2</v>
      </c>
      <c r="AG323">
        <v>6</v>
      </c>
      <c r="AH323">
        <v>0.25</v>
      </c>
      <c r="AI323">
        <v>5</v>
      </c>
      <c r="AJ323">
        <v>2</v>
      </c>
      <c r="AK323">
        <v>26</v>
      </c>
      <c r="AL323">
        <v>4</v>
      </c>
      <c r="AM323">
        <v>31</v>
      </c>
      <c r="AN323">
        <v>4</v>
      </c>
      <c r="AO323" t="s">
        <v>1875</v>
      </c>
      <c r="AP323" t="s">
        <v>1876</v>
      </c>
      <c r="AQ323">
        <v>0.13800000000000001</v>
      </c>
      <c r="AR323" t="s">
        <v>69</v>
      </c>
      <c r="AS323">
        <v>57</v>
      </c>
      <c r="AT323">
        <v>8</v>
      </c>
      <c r="AU323">
        <v>2.776E-2</v>
      </c>
      <c r="AV323">
        <v>-4.8399999999999997E-3</v>
      </c>
      <c r="AW323">
        <v>0.12127</v>
      </c>
      <c r="AX323">
        <v>-2.1399999999999999E-2</v>
      </c>
      <c r="AY323">
        <v>4.1700000000000001E-3</v>
      </c>
      <c r="AZ323">
        <v>-8.8999999999999995E-4</v>
      </c>
      <c r="BA323">
        <v>3.4380000000000001E-2</v>
      </c>
      <c r="BB323">
        <v>1</v>
      </c>
      <c r="BC323" t="s">
        <v>70</v>
      </c>
      <c r="BD323">
        <v>0.54400000000000004</v>
      </c>
      <c r="BE323">
        <v>0.315</v>
      </c>
      <c r="BF323" t="s">
        <v>71</v>
      </c>
      <c r="BG323">
        <v>9.7560975609756101E-2</v>
      </c>
      <c r="BI323">
        <v>65</v>
      </c>
      <c r="BJ323">
        <v>3.4380000000000001E-2</v>
      </c>
      <c r="BK323">
        <v>9.7560975609756101E-2</v>
      </c>
    </row>
    <row r="324" spans="1:63">
      <c r="A324">
        <v>1688</v>
      </c>
      <c r="B324" t="s">
        <v>1877</v>
      </c>
      <c r="D324" t="s">
        <v>60</v>
      </c>
      <c r="E324">
        <v>1724029</v>
      </c>
      <c r="F324">
        <v>1725294</v>
      </c>
      <c r="G324" t="s">
        <v>1879</v>
      </c>
      <c r="H324">
        <v>422</v>
      </c>
      <c r="I324" t="s">
        <v>63</v>
      </c>
      <c r="J324">
        <v>5</v>
      </c>
      <c r="K324" t="str">
        <f>HYPERLINK("Gene1688-zp_tree_all.dnd", "Gene1688-tree")</f>
        <v>Gene1688-tree</v>
      </c>
      <c r="L324">
        <v>2</v>
      </c>
      <c r="M324">
        <v>3</v>
      </c>
      <c r="N324">
        <v>2</v>
      </c>
      <c r="O324">
        <v>3</v>
      </c>
      <c r="P324">
        <v>0.6</v>
      </c>
      <c r="Q324" t="s">
        <v>124</v>
      </c>
      <c r="R324" t="s">
        <v>86</v>
      </c>
      <c r="S324" t="s">
        <v>66</v>
      </c>
      <c r="T324" t="s">
        <v>66</v>
      </c>
      <c r="U324">
        <v>1</v>
      </c>
      <c r="V324">
        <v>2</v>
      </c>
      <c r="W324">
        <v>19</v>
      </c>
      <c r="X324">
        <v>9.5240000000000005E-2</v>
      </c>
      <c r="Y324">
        <v>0</v>
      </c>
      <c r="Z324">
        <v>0</v>
      </c>
      <c r="AA324">
        <v>0</v>
      </c>
      <c r="AB324">
        <v>2</v>
      </c>
      <c r="AC324">
        <v>0</v>
      </c>
      <c r="AD324">
        <v>0</v>
      </c>
      <c r="AE324">
        <v>2</v>
      </c>
      <c r="AF324">
        <v>2</v>
      </c>
      <c r="AG324">
        <v>17</v>
      </c>
      <c r="AH324">
        <v>0.10526000000000001</v>
      </c>
      <c r="AI324">
        <v>5</v>
      </c>
      <c r="AJ324">
        <v>2</v>
      </c>
      <c r="AK324">
        <v>71</v>
      </c>
      <c r="AL324">
        <v>22</v>
      </c>
      <c r="AM324">
        <v>33</v>
      </c>
      <c r="AN324">
        <v>2</v>
      </c>
      <c r="AO324" t="s">
        <v>1880</v>
      </c>
      <c r="AP324" t="s">
        <v>1881</v>
      </c>
      <c r="AQ324">
        <v>0.6</v>
      </c>
      <c r="AR324" t="s">
        <v>69</v>
      </c>
      <c r="AS324">
        <v>104</v>
      </c>
      <c r="AT324">
        <v>24</v>
      </c>
      <c r="AU324">
        <v>4.36E-2</v>
      </c>
      <c r="AV324">
        <v>-5.8100000000000001E-3</v>
      </c>
      <c r="AW324">
        <v>0.17558000000000001</v>
      </c>
      <c r="AX324">
        <v>-2.3429999999999999E-2</v>
      </c>
      <c r="AY324">
        <v>1.0410000000000001E-2</v>
      </c>
      <c r="AZ324">
        <v>-2.7499999999999998E-3</v>
      </c>
      <c r="BA324">
        <v>5.9299999999999999E-2</v>
      </c>
      <c r="BB324">
        <v>1</v>
      </c>
      <c r="BC324" t="s">
        <v>70</v>
      </c>
      <c r="BD324">
        <v>0</v>
      </c>
      <c r="BE324">
        <v>-0.496</v>
      </c>
      <c r="BF324" t="s">
        <v>71</v>
      </c>
      <c r="BG324">
        <v>0.13153153153153099</v>
      </c>
      <c r="BI324">
        <v>128</v>
      </c>
      <c r="BJ324">
        <v>5.9299999999999999E-2</v>
      </c>
      <c r="BK324">
        <v>0.13153153153153099</v>
      </c>
    </row>
    <row r="325" spans="1:63">
      <c r="A325">
        <v>1693</v>
      </c>
      <c r="B325" t="s">
        <v>1885</v>
      </c>
      <c r="D325" t="s">
        <v>60</v>
      </c>
      <c r="E325">
        <v>1733410</v>
      </c>
      <c r="F325">
        <v>1733682</v>
      </c>
      <c r="G325" t="s">
        <v>74</v>
      </c>
      <c r="H325">
        <v>91</v>
      </c>
      <c r="I325" t="s">
        <v>63</v>
      </c>
      <c r="J325">
        <v>5</v>
      </c>
      <c r="K325" t="str">
        <f>HYPERLINK("Gene1693-zp_tree_all.dnd", "Gene1693-tree")</f>
        <v>Gene1693-tree</v>
      </c>
      <c r="L325">
        <v>5</v>
      </c>
      <c r="M325">
        <v>0</v>
      </c>
      <c r="N325">
        <v>5</v>
      </c>
      <c r="O325">
        <v>0</v>
      </c>
      <c r="P325">
        <v>0</v>
      </c>
      <c r="Q325" t="s">
        <v>96</v>
      </c>
      <c r="R325" t="s">
        <v>66</v>
      </c>
      <c r="S325" t="s">
        <v>66</v>
      </c>
      <c r="T325" t="s">
        <v>66</v>
      </c>
      <c r="U325">
        <v>0</v>
      </c>
      <c r="V325">
        <v>0</v>
      </c>
      <c r="W325">
        <v>3</v>
      </c>
      <c r="X325">
        <v>0</v>
      </c>
      <c r="Y325">
        <v>0</v>
      </c>
      <c r="Z325">
        <v>0</v>
      </c>
      <c r="AA325">
        <v>0</v>
      </c>
      <c r="AB325">
        <v>3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2</v>
      </c>
      <c r="AJ325">
        <v>2</v>
      </c>
      <c r="AK325">
        <v>2</v>
      </c>
      <c r="AL325">
        <v>0</v>
      </c>
      <c r="AM325">
        <v>3</v>
      </c>
      <c r="AN325">
        <v>3</v>
      </c>
      <c r="AO325" t="s">
        <v>68</v>
      </c>
      <c r="AP325" t="s">
        <v>1887</v>
      </c>
      <c r="AQ325">
        <v>1.2689999999999999</v>
      </c>
      <c r="AR325" t="s">
        <v>69</v>
      </c>
      <c r="AS325">
        <v>5</v>
      </c>
      <c r="AT325">
        <v>3</v>
      </c>
      <c r="AU325">
        <v>1.6119999999999999E-2</v>
      </c>
      <c r="AV325">
        <v>-3.1199999999999999E-3</v>
      </c>
      <c r="AW325">
        <v>4.6309999999999997E-2</v>
      </c>
      <c r="AX325">
        <v>-7.8499999999999993E-3</v>
      </c>
      <c r="AY325">
        <v>8.4700000000000001E-3</v>
      </c>
      <c r="AZ325">
        <v>-2.0200000000000001E-3</v>
      </c>
      <c r="BA325">
        <v>0.18285000000000001</v>
      </c>
      <c r="BB325">
        <v>0.96599999999999997</v>
      </c>
      <c r="BC325" t="s">
        <v>70</v>
      </c>
      <c r="BD325">
        <v>1.028</v>
      </c>
      <c r="BE325">
        <v>1.028</v>
      </c>
      <c r="BF325" t="s">
        <v>71</v>
      </c>
      <c r="BG325">
        <v>0.18181818181818099</v>
      </c>
      <c r="BI325">
        <v>8</v>
      </c>
      <c r="BJ325">
        <v>0.18285000000000001</v>
      </c>
      <c r="BK325">
        <v>0.18181818181818099</v>
      </c>
    </row>
    <row r="326" spans="1:63">
      <c r="A326">
        <v>1695</v>
      </c>
      <c r="B326" t="s">
        <v>1891</v>
      </c>
      <c r="D326" t="s">
        <v>60</v>
      </c>
      <c r="E326">
        <v>1734009</v>
      </c>
      <c r="F326">
        <v>1736156</v>
      </c>
      <c r="G326" t="s">
        <v>1893</v>
      </c>
      <c r="H326">
        <v>716</v>
      </c>
      <c r="I326" t="s">
        <v>63</v>
      </c>
      <c r="J326">
        <v>5</v>
      </c>
      <c r="K326" t="str">
        <f>HYPERLINK("Gene1695-zp_tree_all.dnd", "Gene1695-tree")</f>
        <v>Gene1695-tree</v>
      </c>
      <c r="L326">
        <v>1</v>
      </c>
      <c r="M326">
        <v>4</v>
      </c>
      <c r="N326">
        <v>1</v>
      </c>
      <c r="O326">
        <v>4</v>
      </c>
      <c r="P326">
        <v>0.8</v>
      </c>
      <c r="Q326" t="s">
        <v>65</v>
      </c>
      <c r="R326" t="s">
        <v>64</v>
      </c>
      <c r="S326" t="s">
        <v>66</v>
      </c>
      <c r="T326" t="s">
        <v>66</v>
      </c>
      <c r="U326">
        <v>1</v>
      </c>
      <c r="V326">
        <v>2</v>
      </c>
      <c r="W326">
        <v>6</v>
      </c>
      <c r="X326">
        <v>0.25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</v>
      </c>
      <c r="AE326">
        <v>0</v>
      </c>
      <c r="AF326">
        <v>2</v>
      </c>
      <c r="AG326">
        <v>6</v>
      </c>
      <c r="AH326">
        <v>0.25</v>
      </c>
      <c r="AI326">
        <v>5</v>
      </c>
      <c r="AJ326">
        <v>2</v>
      </c>
      <c r="AK326">
        <v>49</v>
      </c>
      <c r="AL326">
        <v>4</v>
      </c>
      <c r="AM326">
        <v>56</v>
      </c>
      <c r="AN326">
        <v>4</v>
      </c>
      <c r="AO326" t="s">
        <v>1894</v>
      </c>
      <c r="AP326" t="s">
        <v>1895</v>
      </c>
      <c r="AQ326">
        <v>0.154</v>
      </c>
      <c r="AR326" t="s">
        <v>69</v>
      </c>
      <c r="AS326">
        <v>105</v>
      </c>
      <c r="AT326">
        <v>8</v>
      </c>
      <c r="AU326">
        <v>2.5999999999999999E-2</v>
      </c>
      <c r="AV326">
        <v>-4.5199999999999997E-3</v>
      </c>
      <c r="AW326">
        <v>0.11869</v>
      </c>
      <c r="AX326">
        <v>-2.155E-2</v>
      </c>
      <c r="AY326">
        <v>2.3E-3</v>
      </c>
      <c r="AZ326">
        <v>-3.8000000000000002E-4</v>
      </c>
      <c r="BA326">
        <v>1.9359999999999999E-2</v>
      </c>
      <c r="BB326">
        <v>1</v>
      </c>
      <c r="BC326" t="s">
        <v>70</v>
      </c>
      <c r="BD326">
        <v>0.64200000000000002</v>
      </c>
      <c r="BE326">
        <v>0.56799999999999995</v>
      </c>
      <c r="BF326" t="s">
        <v>71</v>
      </c>
      <c r="BG326">
        <v>9.85915492957746E-2</v>
      </c>
      <c r="BI326">
        <v>113</v>
      </c>
      <c r="BJ326">
        <v>1.9359999999999999E-2</v>
      </c>
      <c r="BK326">
        <v>9.85915492957746E-2</v>
      </c>
    </row>
    <row r="327" spans="1:63">
      <c r="A327">
        <v>1696</v>
      </c>
      <c r="B327" t="s">
        <v>1896</v>
      </c>
      <c r="D327" t="s">
        <v>60</v>
      </c>
      <c r="E327">
        <v>1736156</v>
      </c>
      <c r="F327">
        <v>1736431</v>
      </c>
      <c r="G327" t="s">
        <v>74</v>
      </c>
      <c r="H327">
        <v>92</v>
      </c>
      <c r="I327" t="s">
        <v>63</v>
      </c>
      <c r="J327">
        <v>5</v>
      </c>
      <c r="K327" t="str">
        <f>HYPERLINK("Gene1696-zp_tree_all.dnd", "Gene1696-tree")</f>
        <v>Gene1696-tree</v>
      </c>
      <c r="L327">
        <v>5</v>
      </c>
      <c r="M327">
        <v>0</v>
      </c>
      <c r="N327">
        <v>5</v>
      </c>
      <c r="O327">
        <v>0</v>
      </c>
      <c r="P327">
        <v>0</v>
      </c>
      <c r="Q327" t="s">
        <v>96</v>
      </c>
      <c r="R327" t="s">
        <v>66</v>
      </c>
      <c r="S327" t="s">
        <v>66</v>
      </c>
      <c r="T327" t="s">
        <v>66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3</v>
      </c>
      <c r="AJ327">
        <v>2</v>
      </c>
      <c r="AK327">
        <v>7</v>
      </c>
      <c r="AL327">
        <v>0</v>
      </c>
      <c r="AM327">
        <v>2</v>
      </c>
      <c r="AN327">
        <v>1</v>
      </c>
      <c r="AO327" t="s">
        <v>68</v>
      </c>
      <c r="AP327" t="s">
        <v>1898</v>
      </c>
      <c r="AQ327">
        <v>0.70699999999999996</v>
      </c>
      <c r="AR327" t="s">
        <v>69</v>
      </c>
      <c r="AS327">
        <v>9</v>
      </c>
      <c r="AT327">
        <v>1</v>
      </c>
      <c r="AU327">
        <v>1.6670000000000001E-2</v>
      </c>
      <c r="AV327">
        <v>-2.5699999999999998E-3</v>
      </c>
      <c r="AW327">
        <v>6.5189999999999998E-2</v>
      </c>
      <c r="AX327">
        <v>-1.1639999999999999E-2</v>
      </c>
      <c r="AY327">
        <v>2.8500000000000001E-3</v>
      </c>
      <c r="AZ327">
        <v>-6.8000000000000005E-4</v>
      </c>
      <c r="BA327">
        <v>4.3740000000000001E-2</v>
      </c>
      <c r="BB327">
        <v>1</v>
      </c>
      <c r="BC327" t="s">
        <v>70</v>
      </c>
      <c r="BD327">
        <v>-0.29799999999999999</v>
      </c>
      <c r="BE327">
        <v>-0.29799999999999999</v>
      </c>
      <c r="BF327" t="s">
        <v>71</v>
      </c>
      <c r="BG327">
        <v>9.5238095238095205E-2</v>
      </c>
      <c r="BI327">
        <v>10</v>
      </c>
      <c r="BJ327">
        <v>4.3740000000000001E-2</v>
      </c>
      <c r="BK327">
        <v>9.5238095238095205E-2</v>
      </c>
    </row>
    <row r="328" spans="1:63">
      <c r="A328">
        <v>1697</v>
      </c>
      <c r="B328" t="s">
        <v>1899</v>
      </c>
      <c r="D328" t="s">
        <v>60</v>
      </c>
      <c r="E328">
        <v>1736451</v>
      </c>
      <c r="F328">
        <v>1736801</v>
      </c>
      <c r="G328" t="s">
        <v>1901</v>
      </c>
      <c r="H328">
        <v>117</v>
      </c>
      <c r="I328" t="s">
        <v>63</v>
      </c>
      <c r="J328">
        <v>5</v>
      </c>
      <c r="K328" t="str">
        <f>HYPERLINK("Gene1697-zp_tree_all.dnd", "Gene1697-tree")</f>
        <v>Gene1697-tree</v>
      </c>
      <c r="L328">
        <v>4</v>
      </c>
      <c r="M328">
        <v>1</v>
      </c>
      <c r="N328">
        <v>3</v>
      </c>
      <c r="O328">
        <v>1</v>
      </c>
      <c r="P328">
        <v>0.25</v>
      </c>
      <c r="Q328" t="s">
        <v>112</v>
      </c>
      <c r="R328" t="s">
        <v>65</v>
      </c>
      <c r="S328" t="s">
        <v>66</v>
      </c>
      <c r="T328" t="s">
        <v>66</v>
      </c>
      <c r="U328">
        <v>0</v>
      </c>
      <c r="V328">
        <v>0</v>
      </c>
      <c r="W328">
        <v>2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3</v>
      </c>
      <c r="AJ328">
        <v>1</v>
      </c>
      <c r="AK328">
        <v>8</v>
      </c>
      <c r="AL328">
        <v>1</v>
      </c>
      <c r="AM328">
        <v>3</v>
      </c>
      <c r="AN328">
        <v>1</v>
      </c>
      <c r="AO328" t="s">
        <v>1902</v>
      </c>
      <c r="AP328" t="s">
        <v>1903</v>
      </c>
      <c r="AQ328">
        <v>1.302</v>
      </c>
      <c r="AR328" t="s">
        <v>69</v>
      </c>
      <c r="AS328">
        <v>11</v>
      </c>
      <c r="AT328">
        <v>2</v>
      </c>
      <c r="AU328">
        <v>2.0420000000000001E-2</v>
      </c>
      <c r="AV328">
        <v>-3.3899999999999998E-3</v>
      </c>
      <c r="AW328">
        <v>7.9939999999999997E-2</v>
      </c>
      <c r="AX328">
        <v>-1.273E-2</v>
      </c>
      <c r="AY328">
        <v>4.3200000000000001E-3</v>
      </c>
      <c r="AZ328">
        <v>-7.5000000000000002E-4</v>
      </c>
      <c r="BA328">
        <v>5.4010000000000002E-2</v>
      </c>
      <c r="BB328">
        <v>1</v>
      </c>
      <c r="BC328" t="s">
        <v>70</v>
      </c>
      <c r="BD328">
        <v>-4.7E-2</v>
      </c>
      <c r="BE328">
        <v>-4.7E-2</v>
      </c>
      <c r="BF328" t="s">
        <v>71</v>
      </c>
      <c r="BG328">
        <v>0.168831168831168</v>
      </c>
      <c r="BI328">
        <v>13</v>
      </c>
      <c r="BJ328">
        <v>5.4010000000000002E-2</v>
      </c>
      <c r="BK328">
        <v>0.168831168831168</v>
      </c>
    </row>
    <row r="329" spans="1:63">
      <c r="A329">
        <v>1701</v>
      </c>
      <c r="B329" t="s">
        <v>1907</v>
      </c>
      <c r="D329" t="s">
        <v>60</v>
      </c>
      <c r="E329">
        <v>1739383</v>
      </c>
      <c r="F329">
        <v>1741497</v>
      </c>
      <c r="G329" t="s">
        <v>1909</v>
      </c>
      <c r="H329">
        <v>705</v>
      </c>
      <c r="I329" t="s">
        <v>85</v>
      </c>
      <c r="J329">
        <v>4</v>
      </c>
      <c r="K329" t="str">
        <f>HYPERLINK("Gene1701-zp_tree_all.dnd", "Gene1701-tree")</f>
        <v>Gene1701-tree</v>
      </c>
      <c r="L329">
        <v>2</v>
      </c>
      <c r="M329">
        <v>2</v>
      </c>
      <c r="N329">
        <v>2</v>
      </c>
      <c r="O329">
        <v>2</v>
      </c>
      <c r="P329">
        <v>0.5</v>
      </c>
      <c r="Q329" t="s">
        <v>124</v>
      </c>
      <c r="R329" t="s">
        <v>124</v>
      </c>
      <c r="S329" t="s">
        <v>66</v>
      </c>
      <c r="T329" t="s">
        <v>66</v>
      </c>
      <c r="U329">
        <v>0</v>
      </c>
      <c r="V329">
        <v>0</v>
      </c>
      <c r="W329">
        <v>12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12</v>
      </c>
      <c r="AH329">
        <v>0</v>
      </c>
      <c r="AI329">
        <v>4</v>
      </c>
      <c r="AJ329">
        <v>1</v>
      </c>
      <c r="AK329">
        <v>98</v>
      </c>
      <c r="AL329">
        <v>13</v>
      </c>
      <c r="AM329">
        <v>4</v>
      </c>
      <c r="AN329">
        <v>0</v>
      </c>
      <c r="AO329" t="s">
        <v>1910</v>
      </c>
      <c r="AP329" t="s">
        <v>68</v>
      </c>
      <c r="AQ329">
        <v>0.48499999999999999</v>
      </c>
      <c r="AR329" t="s">
        <v>69</v>
      </c>
      <c r="AS329">
        <v>102</v>
      </c>
      <c r="AT329">
        <v>13</v>
      </c>
      <c r="AU329">
        <v>2.664E-2</v>
      </c>
      <c r="AV329">
        <v>-8.2400000000000008E-3</v>
      </c>
      <c r="AW329">
        <v>0.11607000000000001</v>
      </c>
      <c r="AX329">
        <v>-3.6240000000000001E-2</v>
      </c>
      <c r="AY329">
        <v>4.0000000000000001E-3</v>
      </c>
      <c r="AZ329">
        <v>-1.47E-3</v>
      </c>
      <c r="BA329">
        <v>3.449E-2</v>
      </c>
      <c r="BB329">
        <v>1</v>
      </c>
      <c r="BC329" t="s">
        <v>70</v>
      </c>
      <c r="BD329">
        <v>-0.54900000000000004</v>
      </c>
      <c r="BE329">
        <v>-0.81399999999999995</v>
      </c>
      <c r="BF329" t="s">
        <v>71</v>
      </c>
      <c r="BG329">
        <v>0.108786610878661</v>
      </c>
      <c r="BI329">
        <v>115</v>
      </c>
      <c r="BJ329">
        <v>3.449E-2</v>
      </c>
      <c r="BK329">
        <v>0.108786610878661</v>
      </c>
    </row>
    <row r="330" spans="1:63">
      <c r="A330">
        <v>1703</v>
      </c>
      <c r="B330" t="s">
        <v>1911</v>
      </c>
      <c r="D330" t="s">
        <v>60</v>
      </c>
      <c r="E330">
        <v>1742617</v>
      </c>
      <c r="F330">
        <v>1743843</v>
      </c>
      <c r="G330" t="s">
        <v>1913</v>
      </c>
      <c r="H330">
        <v>409</v>
      </c>
      <c r="I330" t="s">
        <v>106</v>
      </c>
      <c r="J330">
        <v>4</v>
      </c>
      <c r="K330" t="str">
        <f>HYPERLINK("Gene1703-zp_tree_all.dnd", "Gene1703-tree")</f>
        <v>Gene1703-tree</v>
      </c>
      <c r="L330">
        <v>3</v>
      </c>
      <c r="M330">
        <v>1</v>
      </c>
      <c r="N330">
        <v>3</v>
      </c>
      <c r="O330">
        <v>1</v>
      </c>
      <c r="P330">
        <v>0.25</v>
      </c>
      <c r="Q330" t="s">
        <v>86</v>
      </c>
      <c r="R330" t="s">
        <v>65</v>
      </c>
      <c r="S330" t="s">
        <v>66</v>
      </c>
      <c r="T330" t="s">
        <v>66</v>
      </c>
      <c r="U330">
        <v>0</v>
      </c>
      <c r="V330">
        <v>0</v>
      </c>
      <c r="W330">
        <v>5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5</v>
      </c>
      <c r="AH330">
        <v>0</v>
      </c>
      <c r="AI330">
        <v>4</v>
      </c>
      <c r="AJ330">
        <v>0</v>
      </c>
      <c r="AK330">
        <v>60</v>
      </c>
      <c r="AL330">
        <v>6</v>
      </c>
      <c r="AM330">
        <v>0</v>
      </c>
      <c r="AN330">
        <v>0</v>
      </c>
      <c r="AO330" t="s">
        <v>1914</v>
      </c>
      <c r="AP330" t="s">
        <v>68</v>
      </c>
      <c r="AQ330">
        <v>0.45900000000000002</v>
      </c>
      <c r="AR330" t="s">
        <v>69</v>
      </c>
      <c r="AS330">
        <v>60</v>
      </c>
      <c r="AT330">
        <v>6</v>
      </c>
      <c r="AU330">
        <v>2.649E-2</v>
      </c>
      <c r="AV330">
        <v>-7.28E-3</v>
      </c>
      <c r="AW330">
        <v>0.12012</v>
      </c>
      <c r="AX330">
        <v>-3.2870000000000003E-2</v>
      </c>
      <c r="AY330">
        <v>3.16E-3</v>
      </c>
      <c r="AZ330">
        <v>-1.2899999999999999E-3</v>
      </c>
      <c r="BA330">
        <v>2.6339999999999999E-2</v>
      </c>
      <c r="BB330">
        <v>1</v>
      </c>
      <c r="BC330" t="s">
        <v>70</v>
      </c>
      <c r="BD330">
        <v>-0.56599999999999995</v>
      </c>
      <c r="BE330">
        <v>-1.0209999999999999</v>
      </c>
      <c r="BF330" t="s">
        <v>71</v>
      </c>
      <c r="BG330">
        <v>0.103969754253308</v>
      </c>
      <c r="BI330">
        <v>66</v>
      </c>
      <c r="BJ330">
        <v>2.6339999999999999E-2</v>
      </c>
      <c r="BK330">
        <v>0.103969754253308</v>
      </c>
    </row>
    <row r="331" spans="1:63">
      <c r="A331">
        <v>1705</v>
      </c>
      <c r="B331" t="s">
        <v>1915</v>
      </c>
      <c r="D331" t="s">
        <v>60</v>
      </c>
      <c r="E331">
        <v>1744367</v>
      </c>
      <c r="F331">
        <v>1745257</v>
      </c>
      <c r="G331" t="s">
        <v>1917</v>
      </c>
      <c r="H331">
        <v>297</v>
      </c>
      <c r="I331" t="s">
        <v>63</v>
      </c>
      <c r="J331">
        <v>5</v>
      </c>
      <c r="K331" t="str">
        <f>HYPERLINK("Gene1705-zp_tree_all.dnd", "Gene1705-tree")</f>
        <v>Gene1705-tree</v>
      </c>
      <c r="L331">
        <v>2</v>
      </c>
      <c r="M331">
        <v>3</v>
      </c>
      <c r="N331">
        <v>2</v>
      </c>
      <c r="O331">
        <v>3</v>
      </c>
      <c r="P331">
        <v>0.6</v>
      </c>
      <c r="Q331" t="s">
        <v>124</v>
      </c>
      <c r="R331" t="s">
        <v>86</v>
      </c>
      <c r="S331" t="s">
        <v>66</v>
      </c>
      <c r="T331" t="s">
        <v>66</v>
      </c>
      <c r="U331">
        <v>1</v>
      </c>
      <c r="V331">
        <v>2</v>
      </c>
      <c r="W331">
        <v>5</v>
      </c>
      <c r="X331">
        <v>0.28571000000000002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2</v>
      </c>
      <c r="AF331">
        <v>2</v>
      </c>
      <c r="AG331">
        <v>5</v>
      </c>
      <c r="AH331">
        <v>0.28571000000000002</v>
      </c>
      <c r="AI331">
        <v>5</v>
      </c>
      <c r="AJ331">
        <v>2</v>
      </c>
      <c r="AK331">
        <v>12</v>
      </c>
      <c r="AL331">
        <v>4</v>
      </c>
      <c r="AM331">
        <v>28</v>
      </c>
      <c r="AN331">
        <v>3</v>
      </c>
      <c r="AO331" t="s">
        <v>1918</v>
      </c>
      <c r="AP331" t="s">
        <v>1919</v>
      </c>
      <c r="AQ331">
        <v>1.0309999999999999</v>
      </c>
      <c r="AR331" t="s">
        <v>69</v>
      </c>
      <c r="AS331">
        <v>40</v>
      </c>
      <c r="AT331">
        <v>7</v>
      </c>
      <c r="AU331">
        <v>2.75E-2</v>
      </c>
      <c r="AV331">
        <v>-5.3400000000000001E-3</v>
      </c>
      <c r="AW331">
        <v>0.11148</v>
      </c>
      <c r="AX331">
        <v>-2.2800000000000001E-2</v>
      </c>
      <c r="AY331">
        <v>4.5900000000000003E-3</v>
      </c>
      <c r="AZ331">
        <v>-8.0000000000000004E-4</v>
      </c>
      <c r="BA331">
        <v>4.1169999999999998E-2</v>
      </c>
      <c r="BB331">
        <v>1</v>
      </c>
      <c r="BC331" t="s">
        <v>70</v>
      </c>
      <c r="BD331">
        <v>1.012</v>
      </c>
      <c r="BE331">
        <v>0.69799999999999995</v>
      </c>
      <c r="BF331" t="s">
        <v>71</v>
      </c>
      <c r="BG331">
        <v>7.2681704260651597E-2</v>
      </c>
      <c r="BI331">
        <v>47</v>
      </c>
      <c r="BJ331">
        <v>4.1169999999999998E-2</v>
      </c>
      <c r="BK331">
        <v>7.2681704260651597E-2</v>
      </c>
    </row>
    <row r="332" spans="1:63">
      <c r="A332">
        <v>1707</v>
      </c>
      <c r="B332" t="s">
        <v>1920</v>
      </c>
      <c r="D332" t="s">
        <v>60</v>
      </c>
      <c r="E332">
        <v>1745991</v>
      </c>
      <c r="F332">
        <v>1747028</v>
      </c>
      <c r="G332" t="s">
        <v>1922</v>
      </c>
      <c r="H332">
        <v>346</v>
      </c>
      <c r="I332" t="s">
        <v>63</v>
      </c>
      <c r="J332">
        <v>5</v>
      </c>
      <c r="K332" t="str">
        <f>HYPERLINK("Gene1707-zp_tree_all.dnd", "Gene1707-tree")</f>
        <v>Gene1707-tree</v>
      </c>
      <c r="L332">
        <v>3</v>
      </c>
      <c r="M332">
        <v>2</v>
      </c>
      <c r="N332">
        <v>3</v>
      </c>
      <c r="O332">
        <v>2</v>
      </c>
      <c r="P332">
        <v>0.4</v>
      </c>
      <c r="Q332" t="s">
        <v>86</v>
      </c>
      <c r="R332" t="s">
        <v>124</v>
      </c>
      <c r="S332" t="s">
        <v>66</v>
      </c>
      <c r="T332" t="s">
        <v>66</v>
      </c>
      <c r="U332">
        <v>0</v>
      </c>
      <c r="V332">
        <v>0</v>
      </c>
      <c r="W332">
        <v>8</v>
      </c>
      <c r="X332">
        <v>0</v>
      </c>
      <c r="Y332">
        <v>0</v>
      </c>
      <c r="Z332">
        <v>0</v>
      </c>
      <c r="AA332">
        <v>0</v>
      </c>
      <c r="AB332">
        <v>4</v>
      </c>
      <c r="AC332">
        <v>0</v>
      </c>
      <c r="AD332">
        <v>0</v>
      </c>
      <c r="AE332">
        <v>0</v>
      </c>
      <c r="AF332">
        <v>0</v>
      </c>
      <c r="AG332">
        <v>4</v>
      </c>
      <c r="AH332">
        <v>0</v>
      </c>
      <c r="AI332">
        <v>5</v>
      </c>
      <c r="AJ332">
        <v>2</v>
      </c>
      <c r="AK332">
        <v>17</v>
      </c>
      <c r="AL332">
        <v>4</v>
      </c>
      <c r="AM332">
        <v>22</v>
      </c>
      <c r="AN332">
        <v>4</v>
      </c>
      <c r="AO332" t="s">
        <v>1923</v>
      </c>
      <c r="AP332" t="s">
        <v>1924</v>
      </c>
      <c r="AQ332">
        <v>0.20699999999999999</v>
      </c>
      <c r="AR332" t="s">
        <v>69</v>
      </c>
      <c r="AS332">
        <v>39</v>
      </c>
      <c r="AT332">
        <v>8</v>
      </c>
      <c r="AU332">
        <v>2.274E-2</v>
      </c>
      <c r="AV332">
        <v>-4.1200000000000004E-3</v>
      </c>
      <c r="AW332">
        <v>9.0639999999999998E-2</v>
      </c>
      <c r="AX332">
        <v>-1.7409999999999998E-2</v>
      </c>
      <c r="AY332">
        <v>5.0000000000000001E-3</v>
      </c>
      <c r="AZ332">
        <v>-9.3999999999999997E-4</v>
      </c>
      <c r="BA332">
        <v>5.5169999999999997E-2</v>
      </c>
      <c r="BB332">
        <v>1</v>
      </c>
      <c r="BC332" t="s">
        <v>70</v>
      </c>
      <c r="BD332">
        <v>0.69799999999999995</v>
      </c>
      <c r="BE332">
        <v>0.69799999999999995</v>
      </c>
      <c r="BF332" t="s">
        <v>71</v>
      </c>
      <c r="BG332">
        <v>5.6521739130434699E-2</v>
      </c>
      <c r="BI332">
        <v>47</v>
      </c>
      <c r="BJ332">
        <v>5.5169999999999997E-2</v>
      </c>
      <c r="BK332">
        <v>5.6521739130434699E-2</v>
      </c>
    </row>
    <row r="333" spans="1:63">
      <c r="A333">
        <v>1709</v>
      </c>
      <c r="B333" t="s">
        <v>1925</v>
      </c>
      <c r="D333" t="s">
        <v>60</v>
      </c>
      <c r="E333">
        <v>1748368</v>
      </c>
      <c r="F333">
        <v>1749237</v>
      </c>
      <c r="G333" t="s">
        <v>1927</v>
      </c>
      <c r="H333">
        <v>290</v>
      </c>
      <c r="I333" t="s">
        <v>85</v>
      </c>
      <c r="J333">
        <v>4</v>
      </c>
      <c r="K333" t="str">
        <f>HYPERLINK("Gene1709-zp_tree_all.dnd", "Gene1709-tree")</f>
        <v>Gene1709-tree</v>
      </c>
      <c r="L333">
        <v>2</v>
      </c>
      <c r="M333">
        <v>2</v>
      </c>
      <c r="N333">
        <v>2</v>
      </c>
      <c r="O333">
        <v>2</v>
      </c>
      <c r="P333">
        <v>0.5</v>
      </c>
      <c r="Q333" t="s">
        <v>124</v>
      </c>
      <c r="R333" t="s">
        <v>124</v>
      </c>
      <c r="S333" t="s">
        <v>66</v>
      </c>
      <c r="T333" t="s">
        <v>66</v>
      </c>
      <c r="U333">
        <v>0</v>
      </c>
      <c r="V333">
        <v>0</v>
      </c>
      <c r="W333">
        <v>3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3</v>
      </c>
      <c r="AH333">
        <v>0</v>
      </c>
      <c r="AI333">
        <v>3</v>
      </c>
      <c r="AJ333">
        <v>1</v>
      </c>
      <c r="AK333">
        <v>41</v>
      </c>
      <c r="AL333">
        <v>3</v>
      </c>
      <c r="AM333">
        <v>4</v>
      </c>
      <c r="AN333">
        <v>0</v>
      </c>
      <c r="AO333" t="s">
        <v>1928</v>
      </c>
      <c r="AP333" t="s">
        <v>68</v>
      </c>
      <c r="AQ333">
        <v>1.198</v>
      </c>
      <c r="AR333" t="s">
        <v>69</v>
      </c>
      <c r="AS333">
        <v>45</v>
      </c>
      <c r="AT333">
        <v>3</v>
      </c>
      <c r="AU333">
        <v>2.8160000000000001E-2</v>
      </c>
      <c r="AV333">
        <v>-6.7200000000000003E-3</v>
      </c>
      <c r="AW333">
        <v>0.11726</v>
      </c>
      <c r="AX333">
        <v>-2.92E-2</v>
      </c>
      <c r="AY333">
        <v>2.3E-3</v>
      </c>
      <c r="AZ333">
        <v>-5.9999999999999995E-4</v>
      </c>
      <c r="BA333">
        <v>1.9650000000000001E-2</v>
      </c>
      <c r="BB333">
        <v>1</v>
      </c>
      <c r="BC333" t="s">
        <v>70</v>
      </c>
      <c r="BD333">
        <v>-0.46100000000000002</v>
      </c>
      <c r="BE333">
        <v>-0.66400000000000003</v>
      </c>
      <c r="BF333" t="s">
        <v>71</v>
      </c>
      <c r="BG333">
        <v>6.9408740359897095E-2</v>
      </c>
      <c r="BI333">
        <v>48</v>
      </c>
      <c r="BJ333">
        <v>1.9650000000000001E-2</v>
      </c>
      <c r="BK333">
        <v>6.9408740359897095E-2</v>
      </c>
    </row>
    <row r="334" spans="1:63">
      <c r="A334">
        <v>1710</v>
      </c>
      <c r="B334" t="s">
        <v>1929</v>
      </c>
      <c r="D334" t="s">
        <v>60</v>
      </c>
      <c r="E334">
        <v>1749418</v>
      </c>
      <c r="F334">
        <v>1751082</v>
      </c>
      <c r="G334" t="s">
        <v>1931</v>
      </c>
      <c r="H334">
        <v>555</v>
      </c>
      <c r="I334" t="s">
        <v>63</v>
      </c>
      <c r="J334">
        <v>5</v>
      </c>
      <c r="K334" t="str">
        <f>HYPERLINK("Gene1710-zp_tree_all.dnd", "Gene1710-tree")</f>
        <v>Gene1710-tree</v>
      </c>
      <c r="L334">
        <v>3</v>
      </c>
      <c r="M334">
        <v>2</v>
      </c>
      <c r="N334">
        <v>3</v>
      </c>
      <c r="O334">
        <v>2</v>
      </c>
      <c r="P334">
        <v>0.4</v>
      </c>
      <c r="Q334" t="s">
        <v>86</v>
      </c>
      <c r="R334" t="s">
        <v>124</v>
      </c>
      <c r="S334" t="s">
        <v>66</v>
      </c>
      <c r="T334" t="s">
        <v>66</v>
      </c>
      <c r="U334">
        <v>1</v>
      </c>
      <c r="V334">
        <v>2</v>
      </c>
      <c r="W334">
        <v>4</v>
      </c>
      <c r="X334">
        <v>0.33333000000000002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5</v>
      </c>
      <c r="AH334">
        <v>0</v>
      </c>
      <c r="AI334">
        <v>5</v>
      </c>
      <c r="AJ334">
        <v>2</v>
      </c>
      <c r="AK334">
        <v>36</v>
      </c>
      <c r="AL334">
        <v>2</v>
      </c>
      <c r="AM334">
        <v>59</v>
      </c>
      <c r="AN334">
        <v>5</v>
      </c>
      <c r="AO334" t="s">
        <v>1932</v>
      </c>
      <c r="AP334" t="s">
        <v>1933</v>
      </c>
      <c r="AQ334">
        <v>0.32400000000000001</v>
      </c>
      <c r="AR334" t="s">
        <v>69</v>
      </c>
      <c r="AS334">
        <v>95</v>
      </c>
      <c r="AT334">
        <v>7</v>
      </c>
      <c r="AU334">
        <v>3.177E-2</v>
      </c>
      <c r="AV334">
        <v>-5.5599999999999998E-3</v>
      </c>
      <c r="AW334">
        <v>0.14127000000000001</v>
      </c>
      <c r="AX334">
        <v>-2.5600000000000001E-2</v>
      </c>
      <c r="AY334">
        <v>2.99E-3</v>
      </c>
      <c r="AZ334">
        <v>-5.9000000000000003E-4</v>
      </c>
      <c r="BA334">
        <v>2.12E-2</v>
      </c>
      <c r="BB334">
        <v>1</v>
      </c>
      <c r="BC334" t="s">
        <v>70</v>
      </c>
      <c r="BD334">
        <v>0.77600000000000002</v>
      </c>
      <c r="BE334">
        <v>0.69699999999999995</v>
      </c>
      <c r="BF334" t="s">
        <v>71</v>
      </c>
      <c r="BG334">
        <v>5.7503506311360399E-2</v>
      </c>
      <c r="BI334">
        <v>102</v>
      </c>
      <c r="BJ334">
        <v>2.12E-2</v>
      </c>
      <c r="BK334">
        <v>5.7503506311360399E-2</v>
      </c>
    </row>
    <row r="335" spans="1:63">
      <c r="A335">
        <v>1714</v>
      </c>
      <c r="B335" t="s">
        <v>1934</v>
      </c>
      <c r="D335" t="s">
        <v>60</v>
      </c>
      <c r="E335">
        <v>1754785</v>
      </c>
      <c r="F335">
        <v>1755507</v>
      </c>
      <c r="G335" t="s">
        <v>546</v>
      </c>
      <c r="H335">
        <v>241</v>
      </c>
      <c r="I335" t="s">
        <v>106</v>
      </c>
      <c r="J335">
        <v>4</v>
      </c>
      <c r="K335" t="str">
        <f>HYPERLINK("Gene1714-zp_tree_all.dnd", "Gene1714-tree")</f>
        <v>Gene1714-tree</v>
      </c>
      <c r="L335">
        <v>3</v>
      </c>
      <c r="M335">
        <v>1</v>
      </c>
      <c r="N335">
        <v>3</v>
      </c>
      <c r="O335">
        <v>1</v>
      </c>
      <c r="P335">
        <v>0.25</v>
      </c>
      <c r="Q335" t="s">
        <v>86</v>
      </c>
      <c r="R335" t="s">
        <v>65</v>
      </c>
      <c r="S335" t="s">
        <v>66</v>
      </c>
      <c r="T335" t="s">
        <v>66</v>
      </c>
      <c r="U335">
        <v>0</v>
      </c>
      <c r="V335">
        <v>0</v>
      </c>
      <c r="W335">
        <v>5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5</v>
      </c>
      <c r="AH335">
        <v>0</v>
      </c>
      <c r="AI335">
        <v>4</v>
      </c>
      <c r="AJ335">
        <v>1</v>
      </c>
      <c r="AK335">
        <v>33</v>
      </c>
      <c r="AL335">
        <v>5</v>
      </c>
      <c r="AM335">
        <v>2</v>
      </c>
      <c r="AN335">
        <v>0</v>
      </c>
      <c r="AO335" t="s">
        <v>1936</v>
      </c>
      <c r="AP335" t="s">
        <v>68</v>
      </c>
      <c r="AQ335">
        <v>0.44700000000000001</v>
      </c>
      <c r="AR335" t="s">
        <v>69</v>
      </c>
      <c r="AS335">
        <v>35</v>
      </c>
      <c r="AT335">
        <v>5</v>
      </c>
      <c r="AU335">
        <v>2.8119999999999999E-2</v>
      </c>
      <c r="AV335">
        <v>-7.7400000000000004E-3</v>
      </c>
      <c r="AW335">
        <v>0.12375</v>
      </c>
      <c r="AX335">
        <v>-3.3329999999999999E-2</v>
      </c>
      <c r="AY335">
        <v>4.4799999999999996E-3</v>
      </c>
      <c r="AZ335">
        <v>-1.83E-3</v>
      </c>
      <c r="BA335">
        <v>3.6200000000000003E-2</v>
      </c>
      <c r="BB335">
        <v>1</v>
      </c>
      <c r="BC335" t="s">
        <v>70</v>
      </c>
      <c r="BD335">
        <v>-0.70699999999999996</v>
      </c>
      <c r="BE335">
        <v>-0.70699999999999996</v>
      </c>
      <c r="BF335" t="s">
        <v>71</v>
      </c>
      <c r="BG335">
        <v>7.2164948453608199E-2</v>
      </c>
      <c r="BI335">
        <v>40</v>
      </c>
      <c r="BJ335">
        <v>3.6200000000000003E-2</v>
      </c>
      <c r="BK335">
        <v>7.2164948453608199E-2</v>
      </c>
    </row>
    <row r="336" spans="1:63">
      <c r="A336">
        <v>1717</v>
      </c>
      <c r="B336" t="s">
        <v>1937</v>
      </c>
      <c r="D336" t="s">
        <v>60</v>
      </c>
      <c r="E336">
        <v>1758314</v>
      </c>
      <c r="F336">
        <v>1759597</v>
      </c>
      <c r="G336" t="s">
        <v>1939</v>
      </c>
      <c r="H336">
        <v>428</v>
      </c>
      <c r="I336" t="s">
        <v>85</v>
      </c>
      <c r="J336">
        <v>4</v>
      </c>
      <c r="K336" t="str">
        <f>HYPERLINK("Gene1717-zp_tree_all.dnd", "Gene1717-tree")</f>
        <v>Gene1717-tree</v>
      </c>
      <c r="L336">
        <v>2</v>
      </c>
      <c r="M336">
        <v>2</v>
      </c>
      <c r="N336">
        <v>2</v>
      </c>
      <c r="O336">
        <v>2</v>
      </c>
      <c r="P336">
        <v>0.5</v>
      </c>
      <c r="Q336" t="s">
        <v>124</v>
      </c>
      <c r="R336" t="s">
        <v>124</v>
      </c>
      <c r="S336" t="s">
        <v>66</v>
      </c>
      <c r="T336" t="s">
        <v>66</v>
      </c>
      <c r="U336">
        <v>0</v>
      </c>
      <c r="V336">
        <v>0</v>
      </c>
      <c r="W336">
        <v>7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7</v>
      </c>
      <c r="AH336">
        <v>0</v>
      </c>
      <c r="AI336">
        <v>4</v>
      </c>
      <c r="AJ336">
        <v>1</v>
      </c>
      <c r="AK336">
        <v>65</v>
      </c>
      <c r="AL336">
        <v>7</v>
      </c>
      <c r="AM336">
        <v>9</v>
      </c>
      <c r="AN336">
        <v>0</v>
      </c>
      <c r="AO336" t="s">
        <v>1940</v>
      </c>
      <c r="AP336" t="s">
        <v>68</v>
      </c>
      <c r="AQ336">
        <v>0.59799999999999998</v>
      </c>
      <c r="AR336" t="s">
        <v>69</v>
      </c>
      <c r="AS336">
        <v>74</v>
      </c>
      <c r="AT336">
        <v>7</v>
      </c>
      <c r="AU336">
        <v>3.193E-2</v>
      </c>
      <c r="AV336">
        <v>-7.6600000000000001E-3</v>
      </c>
      <c r="AW336">
        <v>0.15268000000000001</v>
      </c>
      <c r="AX336">
        <v>-3.764E-2</v>
      </c>
      <c r="AY336">
        <v>3.5000000000000001E-3</v>
      </c>
      <c r="AZ336">
        <v>-1.17E-3</v>
      </c>
      <c r="BA336">
        <v>2.2939999999999999E-2</v>
      </c>
      <c r="BB336">
        <v>1</v>
      </c>
      <c r="BC336" t="s">
        <v>70</v>
      </c>
      <c r="BD336">
        <v>-0.379</v>
      </c>
      <c r="BE336">
        <v>-0.625</v>
      </c>
      <c r="BF336" t="s">
        <v>71</v>
      </c>
      <c r="BG336">
        <v>7.7205882352941096E-2</v>
      </c>
      <c r="BI336">
        <v>81</v>
      </c>
      <c r="BJ336">
        <v>2.2939999999999999E-2</v>
      </c>
      <c r="BK336">
        <v>7.7205882352941096E-2</v>
      </c>
    </row>
    <row r="337" spans="1:63">
      <c r="A337">
        <v>1719</v>
      </c>
      <c r="B337" t="s">
        <v>1941</v>
      </c>
      <c r="D337" t="s">
        <v>60</v>
      </c>
      <c r="E337">
        <v>1760464</v>
      </c>
      <c r="F337">
        <v>1760718</v>
      </c>
      <c r="G337" t="s">
        <v>74</v>
      </c>
      <c r="H337">
        <v>85</v>
      </c>
      <c r="I337" t="s">
        <v>63</v>
      </c>
      <c r="J337">
        <v>5</v>
      </c>
      <c r="K337" t="str">
        <f>HYPERLINK("Gene1719-zp_tree_all.dnd", "Gene1719-tree")</f>
        <v>Gene1719-tree</v>
      </c>
      <c r="L337">
        <v>5</v>
      </c>
      <c r="M337">
        <v>0</v>
      </c>
      <c r="N337">
        <v>4</v>
      </c>
      <c r="O337">
        <v>0</v>
      </c>
      <c r="P337">
        <v>0</v>
      </c>
      <c r="Q337" t="s">
        <v>135</v>
      </c>
      <c r="R337" t="s">
        <v>66</v>
      </c>
      <c r="S337" t="s">
        <v>66</v>
      </c>
      <c r="T337" t="s">
        <v>66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2</v>
      </c>
      <c r="AJ337">
        <v>1</v>
      </c>
      <c r="AK337">
        <v>3</v>
      </c>
      <c r="AL337">
        <v>0</v>
      </c>
      <c r="AM337">
        <v>2</v>
      </c>
      <c r="AN337">
        <v>1</v>
      </c>
      <c r="AO337" t="s">
        <v>68</v>
      </c>
      <c r="AP337" t="s">
        <v>1943</v>
      </c>
      <c r="AQ337">
        <v>0</v>
      </c>
      <c r="AR337" t="s">
        <v>69</v>
      </c>
      <c r="AS337">
        <v>5</v>
      </c>
      <c r="AT337">
        <v>1</v>
      </c>
      <c r="AU337">
        <v>1.3729999999999999E-2</v>
      </c>
      <c r="AV337">
        <v>-2.7299999999999998E-3</v>
      </c>
      <c r="AW337">
        <v>5.9909999999999998E-2</v>
      </c>
      <c r="AX337">
        <v>-1.204E-2</v>
      </c>
      <c r="AY337">
        <v>3.2599999999999999E-3</v>
      </c>
      <c r="AZ337">
        <v>-7.6999999999999996E-4</v>
      </c>
      <c r="BA337">
        <v>5.4370000000000002E-2</v>
      </c>
      <c r="BB337">
        <v>1</v>
      </c>
      <c r="BC337" t="s">
        <v>70</v>
      </c>
      <c r="BD337">
        <v>0.28599999999999998</v>
      </c>
      <c r="BE337">
        <v>0.28599999999999998</v>
      </c>
      <c r="BF337" t="s">
        <v>71</v>
      </c>
      <c r="BG337">
        <v>0.171171171171171</v>
      </c>
      <c r="BI337">
        <v>6</v>
      </c>
      <c r="BJ337">
        <v>5.4370000000000002E-2</v>
      </c>
      <c r="BK337">
        <v>0.171171171171171</v>
      </c>
    </row>
    <row r="338" spans="1:63">
      <c r="A338">
        <v>1723</v>
      </c>
      <c r="B338" t="s">
        <v>1944</v>
      </c>
      <c r="D338" t="s">
        <v>60</v>
      </c>
      <c r="E338">
        <v>1764645</v>
      </c>
      <c r="F338">
        <v>1765688</v>
      </c>
      <c r="G338" t="s">
        <v>1946</v>
      </c>
      <c r="H338">
        <v>348</v>
      </c>
      <c r="I338" t="s">
        <v>63</v>
      </c>
      <c r="J338">
        <v>5</v>
      </c>
      <c r="K338" t="str">
        <f>HYPERLINK("Gene1723-zp_tree_all.dnd", "Gene1723-tree")</f>
        <v>Gene1723-tree</v>
      </c>
      <c r="L338">
        <v>3</v>
      </c>
      <c r="M338">
        <v>2</v>
      </c>
      <c r="N338">
        <v>3</v>
      </c>
      <c r="O338">
        <v>2</v>
      </c>
      <c r="P338">
        <v>0.4</v>
      </c>
      <c r="Q338" t="s">
        <v>86</v>
      </c>
      <c r="R338" t="s">
        <v>124</v>
      </c>
      <c r="S338" t="s">
        <v>66</v>
      </c>
      <c r="T338" t="s">
        <v>66</v>
      </c>
      <c r="U338">
        <v>0</v>
      </c>
      <c r="V338">
        <v>0</v>
      </c>
      <c r="W338">
        <v>5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5</v>
      </c>
      <c r="AH338">
        <v>0</v>
      </c>
      <c r="AI338">
        <v>5</v>
      </c>
      <c r="AJ338">
        <v>2</v>
      </c>
      <c r="AK338">
        <v>27</v>
      </c>
      <c r="AL338">
        <v>2</v>
      </c>
      <c r="AM338">
        <v>20</v>
      </c>
      <c r="AN338">
        <v>3</v>
      </c>
      <c r="AO338" t="s">
        <v>1947</v>
      </c>
      <c r="AP338" t="s">
        <v>1948</v>
      </c>
      <c r="AQ338">
        <v>0.36399999999999999</v>
      </c>
      <c r="AR338" t="s">
        <v>69</v>
      </c>
      <c r="AS338">
        <v>47</v>
      </c>
      <c r="AT338">
        <v>5</v>
      </c>
      <c r="AU338">
        <v>2.366E-2</v>
      </c>
      <c r="AV338">
        <v>-3.6600000000000001E-3</v>
      </c>
      <c r="AW338">
        <v>9.887E-2</v>
      </c>
      <c r="AX338">
        <v>-1.5169999999999999E-2</v>
      </c>
      <c r="AY338">
        <v>3.2499999999999999E-3</v>
      </c>
      <c r="AZ338">
        <v>-7.1000000000000002E-4</v>
      </c>
      <c r="BA338">
        <v>3.2899999999999999E-2</v>
      </c>
      <c r="BB338">
        <v>1</v>
      </c>
      <c r="BC338" t="s">
        <v>70</v>
      </c>
      <c r="BD338">
        <v>0.22</v>
      </c>
      <c r="BE338">
        <v>6.3E-2</v>
      </c>
      <c r="BF338" t="s">
        <v>71</v>
      </c>
      <c r="BG338">
        <v>0.12065439672801601</v>
      </c>
      <c r="BI338">
        <v>52</v>
      </c>
      <c r="BJ338">
        <v>3.2899999999999999E-2</v>
      </c>
      <c r="BK338">
        <v>0.12065439672801601</v>
      </c>
    </row>
    <row r="339" spans="1:63">
      <c r="A339">
        <v>1725</v>
      </c>
      <c r="B339" t="s">
        <v>1949</v>
      </c>
      <c r="D339" t="s">
        <v>60</v>
      </c>
      <c r="E339">
        <v>1767310</v>
      </c>
      <c r="F339">
        <v>1768869</v>
      </c>
      <c r="G339" t="s">
        <v>1951</v>
      </c>
      <c r="H339">
        <v>520</v>
      </c>
      <c r="I339" t="s">
        <v>63</v>
      </c>
      <c r="J339">
        <v>5</v>
      </c>
      <c r="K339" t="str">
        <f>HYPERLINK("Gene1725-zp_tree_all.dnd", "Gene1725-tree")</f>
        <v>Gene1725-tree</v>
      </c>
      <c r="L339">
        <v>5</v>
      </c>
      <c r="M339">
        <v>0</v>
      </c>
      <c r="N339">
        <v>5</v>
      </c>
      <c r="O339">
        <v>0</v>
      </c>
      <c r="P339">
        <v>0</v>
      </c>
      <c r="Q339" t="s">
        <v>96</v>
      </c>
      <c r="R339" t="s">
        <v>66</v>
      </c>
      <c r="S339" t="s">
        <v>66</v>
      </c>
      <c r="T339" t="s">
        <v>66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4</v>
      </c>
      <c r="AJ339">
        <v>1</v>
      </c>
      <c r="AK339">
        <v>20</v>
      </c>
      <c r="AL339">
        <v>0</v>
      </c>
      <c r="AM339">
        <v>13</v>
      </c>
      <c r="AN339">
        <v>0</v>
      </c>
      <c r="AO339" t="s">
        <v>68</v>
      </c>
      <c r="AP339" t="s">
        <v>68</v>
      </c>
      <c r="AQ339">
        <v>0</v>
      </c>
      <c r="AR339" t="s">
        <v>69</v>
      </c>
      <c r="AS339">
        <v>33</v>
      </c>
      <c r="AT339">
        <v>0</v>
      </c>
      <c r="AU339">
        <v>0.01</v>
      </c>
      <c r="AV339">
        <v>-1.5399999999999999E-3</v>
      </c>
      <c r="AW339">
        <v>4.5409999999999999E-2</v>
      </c>
      <c r="AX339">
        <v>-7.1599999999999997E-3</v>
      </c>
      <c r="AY339">
        <v>0</v>
      </c>
      <c r="AZ339">
        <v>0</v>
      </c>
      <c r="BA339">
        <v>0</v>
      </c>
      <c r="BB339">
        <v>1</v>
      </c>
      <c r="BC339" t="s">
        <v>70</v>
      </c>
      <c r="BD339">
        <v>0.11700000000000001</v>
      </c>
      <c r="BE339">
        <v>0.11700000000000001</v>
      </c>
      <c r="BF339" t="s">
        <v>71</v>
      </c>
      <c r="BG339">
        <v>0.116666666666666</v>
      </c>
      <c r="BI339">
        <v>33</v>
      </c>
      <c r="BJ339">
        <v>0</v>
      </c>
      <c r="BK339">
        <v>0.116666666666666</v>
      </c>
    </row>
    <row r="340" spans="1:63">
      <c r="A340">
        <v>1727</v>
      </c>
      <c r="B340" t="s">
        <v>1952</v>
      </c>
      <c r="D340" t="s">
        <v>60</v>
      </c>
      <c r="E340">
        <v>1769935</v>
      </c>
      <c r="F340">
        <v>1770192</v>
      </c>
      <c r="G340" t="s">
        <v>1954</v>
      </c>
      <c r="H340">
        <v>86</v>
      </c>
      <c r="I340" t="s">
        <v>63</v>
      </c>
      <c r="J340">
        <v>5</v>
      </c>
      <c r="K340" t="str">
        <f>HYPERLINK("Gene1727-zp_tree_all.dnd", "Gene1727-tree")</f>
        <v>Gene1727-tree</v>
      </c>
      <c r="L340">
        <v>5</v>
      </c>
      <c r="M340">
        <v>0</v>
      </c>
      <c r="N340">
        <v>4</v>
      </c>
      <c r="O340">
        <v>0</v>
      </c>
      <c r="P340">
        <v>0</v>
      </c>
      <c r="Q340" t="s">
        <v>135</v>
      </c>
      <c r="R340" t="s">
        <v>66</v>
      </c>
      <c r="S340" t="s">
        <v>66</v>
      </c>
      <c r="T340" t="s">
        <v>66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3</v>
      </c>
      <c r="AJ340">
        <v>1</v>
      </c>
      <c r="AK340">
        <v>4</v>
      </c>
      <c r="AL340">
        <v>0</v>
      </c>
      <c r="AM340">
        <v>7</v>
      </c>
      <c r="AN340">
        <v>0</v>
      </c>
      <c r="AO340" t="s">
        <v>68</v>
      </c>
      <c r="AP340" t="s">
        <v>68</v>
      </c>
      <c r="AQ340">
        <v>0</v>
      </c>
      <c r="AR340" t="s">
        <v>69</v>
      </c>
      <c r="AS340">
        <v>11</v>
      </c>
      <c r="AT340">
        <v>0</v>
      </c>
      <c r="AU340">
        <v>2.614E-2</v>
      </c>
      <c r="AV340">
        <v>-5.4400000000000004E-3</v>
      </c>
      <c r="AW340">
        <v>0.1173</v>
      </c>
      <c r="AX340">
        <v>-2.5139999999999999E-2</v>
      </c>
      <c r="AY340">
        <v>0</v>
      </c>
      <c r="AZ340">
        <v>0</v>
      </c>
      <c r="BA340">
        <v>0</v>
      </c>
      <c r="BB340">
        <v>1</v>
      </c>
      <c r="BC340" t="s">
        <v>70</v>
      </c>
      <c r="BD340">
        <v>0.98099999999999998</v>
      </c>
      <c r="BE340">
        <v>0.98099999999999998</v>
      </c>
      <c r="BF340" t="s">
        <v>71</v>
      </c>
      <c r="BG340">
        <v>0.25396825396825301</v>
      </c>
      <c r="BI340">
        <v>11</v>
      </c>
      <c r="BJ340">
        <v>0</v>
      </c>
      <c r="BK340">
        <v>0.25396825396825301</v>
      </c>
    </row>
    <row r="341" spans="1:63">
      <c r="A341">
        <v>1730</v>
      </c>
      <c r="B341" t="s">
        <v>1955</v>
      </c>
      <c r="D341" t="s">
        <v>60</v>
      </c>
      <c r="E341">
        <v>1772843</v>
      </c>
      <c r="F341">
        <v>1774369</v>
      </c>
      <c r="G341" t="s">
        <v>1957</v>
      </c>
      <c r="H341">
        <v>509</v>
      </c>
      <c r="I341" t="s">
        <v>63</v>
      </c>
      <c r="J341">
        <v>5</v>
      </c>
      <c r="K341" t="str">
        <f>HYPERLINK("Gene1730-zp_tree_all.dnd", "Gene1730-tree")</f>
        <v>Gene1730-tree</v>
      </c>
      <c r="L341">
        <v>3</v>
      </c>
      <c r="M341">
        <v>2</v>
      </c>
      <c r="N341">
        <v>3</v>
      </c>
      <c r="O341">
        <v>2</v>
      </c>
      <c r="P341">
        <v>0.4</v>
      </c>
      <c r="Q341" t="s">
        <v>86</v>
      </c>
      <c r="R341" t="s">
        <v>124</v>
      </c>
      <c r="S341" t="s">
        <v>66</v>
      </c>
      <c r="T341" t="s">
        <v>66</v>
      </c>
      <c r="U341">
        <v>1</v>
      </c>
      <c r="V341">
        <v>2</v>
      </c>
      <c r="W341">
        <v>3</v>
      </c>
      <c r="X341">
        <v>0.4</v>
      </c>
      <c r="Y341">
        <v>0</v>
      </c>
      <c r="Z341">
        <v>0</v>
      </c>
      <c r="AA341">
        <v>0</v>
      </c>
      <c r="AB341">
        <v>3</v>
      </c>
      <c r="AC341">
        <v>0</v>
      </c>
      <c r="AD341">
        <v>0</v>
      </c>
      <c r="AE341">
        <v>0</v>
      </c>
      <c r="AF341">
        <v>0</v>
      </c>
      <c r="AG341">
        <v>2</v>
      </c>
      <c r="AH341">
        <v>0</v>
      </c>
      <c r="AI341">
        <v>5</v>
      </c>
      <c r="AJ341">
        <v>2</v>
      </c>
      <c r="AK341">
        <v>45</v>
      </c>
      <c r="AL341">
        <v>2</v>
      </c>
      <c r="AM341">
        <v>42</v>
      </c>
      <c r="AN341">
        <v>3</v>
      </c>
      <c r="AO341" t="s">
        <v>1958</v>
      </c>
      <c r="AP341" t="s">
        <v>1959</v>
      </c>
      <c r="AQ341">
        <v>0.46300000000000002</v>
      </c>
      <c r="AR341" t="s">
        <v>69</v>
      </c>
      <c r="AS341">
        <v>87</v>
      </c>
      <c r="AT341">
        <v>5</v>
      </c>
      <c r="AU341">
        <v>2.8490000000000001E-2</v>
      </c>
      <c r="AV341">
        <v>-4.2399999999999998E-3</v>
      </c>
      <c r="AW341">
        <v>0.13644999999999999</v>
      </c>
      <c r="AX341">
        <v>-2.1729999999999999E-2</v>
      </c>
      <c r="AY341">
        <v>2.1900000000000001E-3</v>
      </c>
      <c r="AZ341">
        <v>-2.3000000000000001E-4</v>
      </c>
      <c r="BA341">
        <v>1.601E-2</v>
      </c>
      <c r="BB341">
        <v>1</v>
      </c>
      <c r="BC341" t="s">
        <v>70</v>
      </c>
      <c r="BD341">
        <v>0.502</v>
      </c>
      <c r="BE341">
        <v>0.33500000000000002</v>
      </c>
      <c r="BF341" t="s">
        <v>71</v>
      </c>
      <c r="BG341">
        <v>0.128983308042488</v>
      </c>
      <c r="BI341">
        <v>92</v>
      </c>
      <c r="BJ341">
        <v>1.601E-2</v>
      </c>
      <c r="BK341">
        <v>0.128983308042488</v>
      </c>
    </row>
    <row r="342" spans="1:63">
      <c r="A342">
        <v>1731</v>
      </c>
      <c r="B342" t="s">
        <v>1960</v>
      </c>
      <c r="D342" t="s">
        <v>60</v>
      </c>
      <c r="E342">
        <v>1774374</v>
      </c>
      <c r="F342">
        <v>1774802</v>
      </c>
      <c r="G342" t="s">
        <v>74</v>
      </c>
      <c r="H342">
        <v>143</v>
      </c>
      <c r="I342" t="s">
        <v>63</v>
      </c>
      <c r="J342">
        <v>5</v>
      </c>
      <c r="K342" t="str">
        <f>HYPERLINK("Gene1731-zp_tree_all.dnd", "Gene1731-tree")</f>
        <v>Gene1731-tree</v>
      </c>
      <c r="L342">
        <v>5</v>
      </c>
      <c r="M342">
        <v>0</v>
      </c>
      <c r="N342">
        <v>5</v>
      </c>
      <c r="O342">
        <v>0</v>
      </c>
      <c r="P342">
        <v>0</v>
      </c>
      <c r="Q342" t="s">
        <v>96</v>
      </c>
      <c r="R342" t="s">
        <v>66</v>
      </c>
      <c r="S342" t="s">
        <v>66</v>
      </c>
      <c r="T342" t="s">
        <v>66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4</v>
      </c>
      <c r="AJ342">
        <v>2</v>
      </c>
      <c r="AK342">
        <v>10</v>
      </c>
      <c r="AL342">
        <v>0</v>
      </c>
      <c r="AM342">
        <v>9</v>
      </c>
      <c r="AN342">
        <v>0</v>
      </c>
      <c r="AO342" t="s">
        <v>68</v>
      </c>
      <c r="AP342" t="s">
        <v>68</v>
      </c>
      <c r="AQ342">
        <v>0</v>
      </c>
      <c r="AR342" t="s">
        <v>69</v>
      </c>
      <c r="AS342">
        <v>19</v>
      </c>
      <c r="AT342">
        <v>0</v>
      </c>
      <c r="AU342">
        <v>2.2069999999999999E-2</v>
      </c>
      <c r="AV342">
        <v>-3.62E-3</v>
      </c>
      <c r="AW342">
        <v>0.11258</v>
      </c>
      <c r="AX342">
        <v>-1.9199999999999998E-2</v>
      </c>
      <c r="AY342">
        <v>0</v>
      </c>
      <c r="AZ342">
        <v>0</v>
      </c>
      <c r="BA342">
        <v>0</v>
      </c>
      <c r="BB342">
        <v>1</v>
      </c>
      <c r="BC342" t="s">
        <v>70</v>
      </c>
      <c r="BD342">
        <v>0.22700000000000001</v>
      </c>
      <c r="BE342">
        <v>0.22700000000000001</v>
      </c>
      <c r="BF342" t="s">
        <v>71</v>
      </c>
      <c r="BG342">
        <v>-5.4644808743169399E-3</v>
      </c>
      <c r="BI342">
        <v>19</v>
      </c>
      <c r="BJ342">
        <v>0</v>
      </c>
      <c r="BK342">
        <v>-5.4644808743169399E-3</v>
      </c>
    </row>
    <row r="343" spans="1:63">
      <c r="A343">
        <v>1765</v>
      </c>
      <c r="B343" t="s">
        <v>1965</v>
      </c>
      <c r="D343" t="s">
        <v>60</v>
      </c>
      <c r="E343">
        <v>1868144</v>
      </c>
      <c r="F343">
        <v>1868371</v>
      </c>
      <c r="G343" t="s">
        <v>74</v>
      </c>
      <c r="H343">
        <v>76</v>
      </c>
      <c r="I343" t="s">
        <v>63</v>
      </c>
      <c r="J343">
        <v>5</v>
      </c>
      <c r="K343" t="str">
        <f>HYPERLINK("Gene1765-zp_tree_all.dnd", "Gene1765-tree")</f>
        <v>Gene1765-tree</v>
      </c>
      <c r="L343">
        <v>5</v>
      </c>
      <c r="M343">
        <v>0</v>
      </c>
      <c r="N343">
        <v>4</v>
      </c>
      <c r="O343">
        <v>0</v>
      </c>
      <c r="P343">
        <v>0</v>
      </c>
      <c r="Q343" t="s">
        <v>135</v>
      </c>
      <c r="R343" t="s">
        <v>66</v>
      </c>
      <c r="S343" t="s">
        <v>66</v>
      </c>
      <c r="T343" t="s">
        <v>66</v>
      </c>
      <c r="U343">
        <v>0</v>
      </c>
      <c r="V343">
        <v>0</v>
      </c>
      <c r="W343">
        <v>2</v>
      </c>
      <c r="X343">
        <v>0</v>
      </c>
      <c r="Y343">
        <v>0</v>
      </c>
      <c r="Z343">
        <v>0</v>
      </c>
      <c r="AA343">
        <v>0</v>
      </c>
      <c r="AB343">
        <v>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2</v>
      </c>
      <c r="AJ343">
        <v>1</v>
      </c>
      <c r="AK343">
        <v>3</v>
      </c>
      <c r="AL343">
        <v>0</v>
      </c>
      <c r="AM343">
        <v>2</v>
      </c>
      <c r="AN343">
        <v>2</v>
      </c>
      <c r="AO343" t="s">
        <v>68</v>
      </c>
      <c r="AP343" t="s">
        <v>1967</v>
      </c>
      <c r="AQ343">
        <v>0</v>
      </c>
      <c r="AR343" t="s">
        <v>69</v>
      </c>
      <c r="AS343">
        <v>5</v>
      </c>
      <c r="AT343">
        <v>2</v>
      </c>
      <c r="AU343">
        <v>1.8270000000000002E-2</v>
      </c>
      <c r="AV343">
        <v>-3.79E-3</v>
      </c>
      <c r="AW343">
        <v>6.7269999999999996E-2</v>
      </c>
      <c r="AX343">
        <v>-1.358E-2</v>
      </c>
      <c r="AY343">
        <v>7.3200000000000001E-3</v>
      </c>
      <c r="AZ343">
        <v>-1.73E-3</v>
      </c>
      <c r="BA343">
        <v>0.10881</v>
      </c>
      <c r="BB343">
        <v>1</v>
      </c>
      <c r="BC343" t="s">
        <v>70</v>
      </c>
      <c r="BD343">
        <v>0.91300000000000003</v>
      </c>
      <c r="BE343">
        <v>0.91300000000000003</v>
      </c>
      <c r="BF343" t="s">
        <v>71</v>
      </c>
      <c r="BG343">
        <v>0.35714285714285698</v>
      </c>
      <c r="BI343">
        <v>7</v>
      </c>
      <c r="BJ343">
        <v>0.10881</v>
      </c>
      <c r="BK343">
        <v>0.35714285714285698</v>
      </c>
    </row>
    <row r="344" spans="1:63">
      <c r="A344">
        <v>1766</v>
      </c>
      <c r="B344" t="s">
        <v>1968</v>
      </c>
      <c r="D344" t="s">
        <v>60</v>
      </c>
      <c r="E344">
        <v>1868617</v>
      </c>
      <c r="F344">
        <v>1869006</v>
      </c>
      <c r="G344" t="s">
        <v>1970</v>
      </c>
      <c r="H344">
        <v>130</v>
      </c>
      <c r="I344" t="s">
        <v>63</v>
      </c>
      <c r="J344">
        <v>5</v>
      </c>
      <c r="K344" t="str">
        <f>HYPERLINK("Gene1766-zp_tree_all.dnd", "Gene1766-tree")</f>
        <v>Gene1766-tree</v>
      </c>
      <c r="L344">
        <v>4</v>
      </c>
      <c r="M344">
        <v>1</v>
      </c>
      <c r="N344">
        <v>4</v>
      </c>
      <c r="O344">
        <v>1</v>
      </c>
      <c r="P344">
        <v>0.2</v>
      </c>
      <c r="Q344" t="s">
        <v>64</v>
      </c>
      <c r="R344" t="s">
        <v>65</v>
      </c>
      <c r="S344" t="s">
        <v>66</v>
      </c>
      <c r="T344" t="s">
        <v>66</v>
      </c>
      <c r="U344">
        <v>1</v>
      </c>
      <c r="V344">
        <v>2</v>
      </c>
      <c r="W344">
        <v>2</v>
      </c>
      <c r="X344">
        <v>0.5</v>
      </c>
      <c r="Y344">
        <v>0</v>
      </c>
      <c r="Z344">
        <v>2</v>
      </c>
      <c r="AA344">
        <v>2</v>
      </c>
      <c r="AB344">
        <v>1</v>
      </c>
      <c r="AC344">
        <v>0.66666999999999998</v>
      </c>
      <c r="AD344">
        <v>0</v>
      </c>
      <c r="AE344">
        <v>0</v>
      </c>
      <c r="AF344">
        <v>0</v>
      </c>
      <c r="AG344">
        <v>1</v>
      </c>
      <c r="AH344">
        <v>0</v>
      </c>
      <c r="AI344">
        <v>4</v>
      </c>
      <c r="AJ344">
        <v>2</v>
      </c>
      <c r="AK344">
        <v>5</v>
      </c>
      <c r="AL344">
        <v>1</v>
      </c>
      <c r="AM344">
        <v>4</v>
      </c>
      <c r="AN344">
        <v>3</v>
      </c>
      <c r="AO344" t="s">
        <v>1971</v>
      </c>
      <c r="AP344" t="s">
        <v>1972</v>
      </c>
      <c r="AQ344">
        <v>1.482</v>
      </c>
      <c r="AR344" t="s">
        <v>69</v>
      </c>
      <c r="AS344">
        <v>9</v>
      </c>
      <c r="AT344">
        <v>4</v>
      </c>
      <c r="AU344">
        <v>1.5129999999999999E-2</v>
      </c>
      <c r="AV344">
        <v>-1.8600000000000001E-3</v>
      </c>
      <c r="AW344">
        <v>4.9250000000000002E-2</v>
      </c>
      <c r="AX344">
        <v>-6.3600000000000002E-3</v>
      </c>
      <c r="AY344">
        <v>5.96E-3</v>
      </c>
      <c r="AZ344">
        <v>-9.1E-4</v>
      </c>
      <c r="BA344">
        <v>0.12099</v>
      </c>
      <c r="BB344">
        <v>1</v>
      </c>
      <c r="BC344" t="s">
        <v>70</v>
      </c>
      <c r="BD344">
        <v>0.84499999999999997</v>
      </c>
      <c r="BE344">
        <v>-0.38200000000000001</v>
      </c>
      <c r="BF344" t="s">
        <v>71</v>
      </c>
      <c r="BG344">
        <v>0.194029850746268</v>
      </c>
      <c r="BI344">
        <v>13</v>
      </c>
      <c r="BJ344">
        <v>0.12099</v>
      </c>
      <c r="BK344">
        <v>0.194029850746268</v>
      </c>
    </row>
    <row r="345" spans="1:63">
      <c r="A345">
        <v>1767</v>
      </c>
      <c r="B345" t="s">
        <v>1973</v>
      </c>
      <c r="D345" t="s">
        <v>60</v>
      </c>
      <c r="E345">
        <v>1868969</v>
      </c>
      <c r="F345">
        <v>1871068</v>
      </c>
      <c r="G345" t="s">
        <v>1975</v>
      </c>
      <c r="H345">
        <v>700</v>
      </c>
      <c r="I345" t="s">
        <v>85</v>
      </c>
      <c r="J345">
        <v>4</v>
      </c>
      <c r="K345" t="str">
        <f>HYPERLINK("Gene1767-zp_tree_all.dnd", "Gene1767-tree")</f>
        <v>Gene1767-tree</v>
      </c>
      <c r="L345">
        <v>1</v>
      </c>
      <c r="M345">
        <v>3</v>
      </c>
      <c r="N345">
        <v>1</v>
      </c>
      <c r="O345">
        <v>3</v>
      </c>
      <c r="P345">
        <v>0.75</v>
      </c>
      <c r="Q345" t="s">
        <v>65</v>
      </c>
      <c r="R345" t="s">
        <v>86</v>
      </c>
      <c r="S345" t="s">
        <v>66</v>
      </c>
      <c r="T345" t="s">
        <v>66</v>
      </c>
      <c r="U345">
        <v>0</v>
      </c>
      <c r="V345">
        <v>0</v>
      </c>
      <c r="W345">
        <v>9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9</v>
      </c>
      <c r="AH345">
        <v>0</v>
      </c>
      <c r="AI345">
        <v>4</v>
      </c>
      <c r="AJ345">
        <v>1</v>
      </c>
      <c r="AK345">
        <v>117</v>
      </c>
      <c r="AL345">
        <v>6</v>
      </c>
      <c r="AM345">
        <v>15</v>
      </c>
      <c r="AN345">
        <v>3</v>
      </c>
      <c r="AO345" t="s">
        <v>1976</v>
      </c>
      <c r="AP345" t="s">
        <v>1977</v>
      </c>
      <c r="AQ345">
        <v>4.9340000000000002</v>
      </c>
      <c r="AR345" t="s">
        <v>69</v>
      </c>
      <c r="AS345">
        <v>132</v>
      </c>
      <c r="AT345">
        <v>9</v>
      </c>
      <c r="AU345">
        <v>3.1189999999999999E-2</v>
      </c>
      <c r="AV345">
        <v>-3.2799999999999999E-3</v>
      </c>
      <c r="AW345">
        <v>0.14656</v>
      </c>
      <c r="AX345">
        <v>-1.617E-2</v>
      </c>
      <c r="AY345">
        <v>3.0500000000000002E-3</v>
      </c>
      <c r="AZ345">
        <v>-5.5999999999999995E-4</v>
      </c>
      <c r="BA345">
        <v>2.0820000000000002E-2</v>
      </c>
      <c r="BB345">
        <v>1</v>
      </c>
      <c r="BC345" t="s">
        <v>70</v>
      </c>
      <c r="BD345">
        <v>0.36899999999999999</v>
      </c>
      <c r="BE345">
        <v>-4.4999999999999998E-2</v>
      </c>
      <c r="BF345" t="s">
        <v>71</v>
      </c>
      <c r="BG345">
        <v>1.9252548131370301E-2</v>
      </c>
      <c r="BI345">
        <v>141</v>
      </c>
      <c r="BJ345">
        <v>2.0820000000000002E-2</v>
      </c>
      <c r="BK345">
        <v>1.9252548131370301E-2</v>
      </c>
    </row>
    <row r="346" spans="1:63">
      <c r="A346">
        <v>1768</v>
      </c>
      <c r="B346" t="s">
        <v>1978</v>
      </c>
      <c r="D346" t="s">
        <v>60</v>
      </c>
      <c r="E346">
        <v>1871089</v>
      </c>
      <c r="F346">
        <v>1872075</v>
      </c>
      <c r="G346" t="s">
        <v>1980</v>
      </c>
      <c r="H346">
        <v>329</v>
      </c>
      <c r="I346" t="s">
        <v>85</v>
      </c>
      <c r="J346">
        <v>4</v>
      </c>
      <c r="K346" t="str">
        <f>HYPERLINK("Gene1768-zp_tree_all.dnd", "Gene1768-tree")</f>
        <v>Gene1768-tree</v>
      </c>
      <c r="L346">
        <v>3</v>
      </c>
      <c r="M346">
        <v>1</v>
      </c>
      <c r="N346">
        <v>3</v>
      </c>
      <c r="O346">
        <v>1</v>
      </c>
      <c r="P346">
        <v>0.25</v>
      </c>
      <c r="Q346" t="s">
        <v>86</v>
      </c>
      <c r="R346" t="s">
        <v>65</v>
      </c>
      <c r="S346" t="s">
        <v>66</v>
      </c>
      <c r="T346" t="s">
        <v>66</v>
      </c>
      <c r="U346">
        <v>0</v>
      </c>
      <c r="V346">
        <v>0</v>
      </c>
      <c r="W346">
        <v>3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3</v>
      </c>
      <c r="AH346">
        <v>0</v>
      </c>
      <c r="AI346">
        <v>4</v>
      </c>
      <c r="AJ346">
        <v>1</v>
      </c>
      <c r="AK346">
        <v>56</v>
      </c>
      <c r="AL346">
        <v>3</v>
      </c>
      <c r="AM346">
        <v>3</v>
      </c>
      <c r="AN346">
        <v>0</v>
      </c>
      <c r="AO346" t="s">
        <v>1981</v>
      </c>
      <c r="AP346" t="s">
        <v>68</v>
      </c>
      <c r="AQ346">
        <v>0.50900000000000001</v>
      </c>
      <c r="AR346" t="s">
        <v>69</v>
      </c>
      <c r="AS346">
        <v>59</v>
      </c>
      <c r="AT346">
        <v>3</v>
      </c>
      <c r="AU346">
        <v>3.09E-2</v>
      </c>
      <c r="AV346">
        <v>-7.0099999999999997E-3</v>
      </c>
      <c r="AW346">
        <v>0.15895999999999999</v>
      </c>
      <c r="AX346">
        <v>-3.7199999999999997E-2</v>
      </c>
      <c r="AY346">
        <v>1.9300000000000001E-3</v>
      </c>
      <c r="AZ346">
        <v>-7.9000000000000001E-4</v>
      </c>
      <c r="BA346">
        <v>1.2160000000000001E-2</v>
      </c>
      <c r="BB346">
        <v>1</v>
      </c>
      <c r="BC346" t="s">
        <v>70</v>
      </c>
      <c r="BD346">
        <v>-0.54500000000000004</v>
      </c>
      <c r="BE346">
        <v>-0.70699999999999996</v>
      </c>
      <c r="BF346" t="s">
        <v>71</v>
      </c>
      <c r="BG346">
        <v>0.12301013024602001</v>
      </c>
      <c r="BI346">
        <v>62</v>
      </c>
      <c r="BJ346">
        <v>1.2160000000000001E-2</v>
      </c>
      <c r="BK346">
        <v>0.12301013024602001</v>
      </c>
    </row>
    <row r="347" spans="1:63">
      <c r="A347">
        <v>1768</v>
      </c>
      <c r="B347" t="s">
        <v>1978</v>
      </c>
      <c r="D347" t="s">
        <v>60</v>
      </c>
      <c r="E347">
        <v>1871089</v>
      </c>
      <c r="F347">
        <v>1872075</v>
      </c>
      <c r="G347" t="s">
        <v>1980</v>
      </c>
      <c r="H347">
        <v>329</v>
      </c>
      <c r="I347" t="s">
        <v>85</v>
      </c>
      <c r="J347">
        <v>4</v>
      </c>
      <c r="K347" t="str">
        <f>HYPERLINK("Gene1768-zp_tree_all.dnd", "Gene1768-tree")</f>
        <v>Gene1768-tree</v>
      </c>
      <c r="L347">
        <v>3</v>
      </c>
      <c r="M347">
        <v>1</v>
      </c>
      <c r="N347">
        <v>3</v>
      </c>
      <c r="O347">
        <v>1</v>
      </c>
      <c r="P347">
        <v>0.25</v>
      </c>
      <c r="Q347" t="s">
        <v>86</v>
      </c>
      <c r="R347" t="s">
        <v>65</v>
      </c>
      <c r="S347" t="s">
        <v>66</v>
      </c>
      <c r="T347" t="s">
        <v>66</v>
      </c>
      <c r="U347">
        <v>0</v>
      </c>
      <c r="V347">
        <v>0</v>
      </c>
      <c r="W347">
        <v>3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3</v>
      </c>
      <c r="AH347">
        <v>0</v>
      </c>
      <c r="AI347">
        <v>4</v>
      </c>
      <c r="AJ347">
        <v>1</v>
      </c>
      <c r="AK347">
        <v>56</v>
      </c>
      <c r="AL347">
        <v>3</v>
      </c>
      <c r="AM347">
        <v>3</v>
      </c>
      <c r="AN347">
        <v>0</v>
      </c>
      <c r="AO347" t="s">
        <v>1981</v>
      </c>
      <c r="AP347" t="s">
        <v>68</v>
      </c>
      <c r="AQ347">
        <v>0.50900000000000001</v>
      </c>
      <c r="AR347" t="s">
        <v>69</v>
      </c>
      <c r="AS347">
        <v>59</v>
      </c>
      <c r="AT347">
        <v>3</v>
      </c>
      <c r="AU347">
        <v>3.09E-2</v>
      </c>
      <c r="AV347">
        <v>-7.0099999999999997E-3</v>
      </c>
      <c r="AW347">
        <v>0.15895999999999999</v>
      </c>
      <c r="AX347">
        <v>-3.7199999999999997E-2</v>
      </c>
      <c r="AY347">
        <v>1.9300000000000001E-3</v>
      </c>
      <c r="AZ347">
        <v>-7.9000000000000001E-4</v>
      </c>
      <c r="BA347">
        <v>1.2160000000000001E-2</v>
      </c>
      <c r="BB347">
        <v>1</v>
      </c>
      <c r="BC347" t="s">
        <v>70</v>
      </c>
      <c r="BD347">
        <v>-0.54500000000000004</v>
      </c>
      <c r="BE347">
        <v>-0.70699999999999996</v>
      </c>
      <c r="BF347" t="s">
        <v>71</v>
      </c>
      <c r="BG347">
        <v>0.12301013024602001</v>
      </c>
      <c r="BI347">
        <v>62</v>
      </c>
      <c r="BJ347">
        <v>1.2160000000000001E-2</v>
      </c>
      <c r="BK347">
        <v>0.12301013024602001</v>
      </c>
    </row>
    <row r="348" spans="1:63">
      <c r="A348">
        <v>1768</v>
      </c>
      <c r="B348" t="s">
        <v>1978</v>
      </c>
      <c r="D348" t="s">
        <v>60</v>
      </c>
      <c r="E348">
        <v>1871089</v>
      </c>
      <c r="F348">
        <v>1872075</v>
      </c>
      <c r="G348" t="s">
        <v>1980</v>
      </c>
      <c r="H348">
        <v>329</v>
      </c>
      <c r="I348" t="s">
        <v>85</v>
      </c>
      <c r="J348">
        <v>4</v>
      </c>
      <c r="K348" t="str">
        <f>HYPERLINK("Gene1768-zp_tree_all.dnd", "Gene1768-tree")</f>
        <v>Gene1768-tree</v>
      </c>
      <c r="L348">
        <v>3</v>
      </c>
      <c r="M348">
        <v>1</v>
      </c>
      <c r="N348">
        <v>3</v>
      </c>
      <c r="O348">
        <v>1</v>
      </c>
      <c r="P348">
        <v>0.25</v>
      </c>
      <c r="Q348" t="s">
        <v>86</v>
      </c>
      <c r="R348" t="s">
        <v>65</v>
      </c>
      <c r="S348" t="s">
        <v>66</v>
      </c>
      <c r="T348" t="s">
        <v>66</v>
      </c>
      <c r="U348">
        <v>0</v>
      </c>
      <c r="V348">
        <v>0</v>
      </c>
      <c r="W348">
        <v>3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3</v>
      </c>
      <c r="AH348">
        <v>0</v>
      </c>
      <c r="AI348">
        <v>4</v>
      </c>
      <c r="AJ348">
        <v>1</v>
      </c>
      <c r="AK348">
        <v>56</v>
      </c>
      <c r="AL348">
        <v>3</v>
      </c>
      <c r="AM348">
        <v>3</v>
      </c>
      <c r="AN348">
        <v>0</v>
      </c>
      <c r="AO348" t="s">
        <v>1981</v>
      </c>
      <c r="AP348" t="s">
        <v>68</v>
      </c>
      <c r="AQ348">
        <v>0.50900000000000001</v>
      </c>
      <c r="AR348" t="s">
        <v>69</v>
      </c>
      <c r="AS348">
        <v>59</v>
      </c>
      <c r="AT348">
        <v>3</v>
      </c>
      <c r="AU348">
        <v>3.09E-2</v>
      </c>
      <c r="AV348">
        <v>-7.0099999999999997E-3</v>
      </c>
      <c r="AW348">
        <v>0.15895999999999999</v>
      </c>
      <c r="AX348">
        <v>-3.7199999999999997E-2</v>
      </c>
      <c r="AY348">
        <v>1.9300000000000001E-3</v>
      </c>
      <c r="AZ348">
        <v>-7.9000000000000001E-4</v>
      </c>
      <c r="BA348">
        <v>1.2160000000000001E-2</v>
      </c>
      <c r="BB348">
        <v>1</v>
      </c>
      <c r="BC348" t="s">
        <v>70</v>
      </c>
      <c r="BD348">
        <v>-0.54500000000000004</v>
      </c>
      <c r="BE348">
        <v>-0.70699999999999996</v>
      </c>
      <c r="BF348" t="s">
        <v>71</v>
      </c>
      <c r="BG348">
        <v>0.12301013024602001</v>
      </c>
      <c r="BI348">
        <v>62</v>
      </c>
      <c r="BJ348">
        <v>1.2160000000000001E-2</v>
      </c>
      <c r="BK348">
        <v>0.12301013024602001</v>
      </c>
    </row>
    <row r="349" spans="1:63">
      <c r="A349">
        <v>1771</v>
      </c>
      <c r="B349" t="s">
        <v>1982</v>
      </c>
      <c r="D349" t="s">
        <v>60</v>
      </c>
      <c r="E349">
        <v>1874203</v>
      </c>
      <c r="F349">
        <v>1875168</v>
      </c>
      <c r="G349" t="s">
        <v>1984</v>
      </c>
      <c r="H349">
        <v>322</v>
      </c>
      <c r="I349" t="s">
        <v>63</v>
      </c>
      <c r="J349">
        <v>5</v>
      </c>
      <c r="K349" t="str">
        <f>HYPERLINK("Gene1771-zp_tree_all.dnd", "Gene1771-tree")</f>
        <v>Gene1771-tree</v>
      </c>
      <c r="L349">
        <v>4</v>
      </c>
      <c r="M349">
        <v>1</v>
      </c>
      <c r="N349">
        <v>4</v>
      </c>
      <c r="O349">
        <v>1</v>
      </c>
      <c r="P349">
        <v>0.2</v>
      </c>
      <c r="Q349" t="s">
        <v>64</v>
      </c>
      <c r="R349" t="s">
        <v>65</v>
      </c>
      <c r="S349" t="s">
        <v>66</v>
      </c>
      <c r="T349" t="s">
        <v>66</v>
      </c>
      <c r="U349">
        <v>0</v>
      </c>
      <c r="V349">
        <v>0</v>
      </c>
      <c r="W349">
        <v>3</v>
      </c>
      <c r="X349">
        <v>0</v>
      </c>
      <c r="Y349">
        <v>0</v>
      </c>
      <c r="Z349">
        <v>0</v>
      </c>
      <c r="AA349">
        <v>0</v>
      </c>
      <c r="AB349">
        <v>2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5</v>
      </c>
      <c r="AJ349">
        <v>2</v>
      </c>
      <c r="AK349">
        <v>32</v>
      </c>
      <c r="AL349">
        <v>1</v>
      </c>
      <c r="AM349">
        <v>31</v>
      </c>
      <c r="AN349">
        <v>2</v>
      </c>
      <c r="AO349" t="s">
        <v>1985</v>
      </c>
      <c r="AP349" t="s">
        <v>1986</v>
      </c>
      <c r="AQ349">
        <v>0.29799999999999999</v>
      </c>
      <c r="AR349" t="s">
        <v>69</v>
      </c>
      <c r="AS349">
        <v>63</v>
      </c>
      <c r="AT349">
        <v>3</v>
      </c>
      <c r="AU349">
        <v>3.3849999999999998E-2</v>
      </c>
      <c r="AV349">
        <v>-6.3899999999999998E-3</v>
      </c>
      <c r="AW349">
        <v>0.17849999999999999</v>
      </c>
      <c r="AX349">
        <v>-3.4270000000000002E-2</v>
      </c>
      <c r="AY349">
        <v>2.1099999999999999E-3</v>
      </c>
      <c r="AZ349">
        <v>-5.0000000000000001E-4</v>
      </c>
      <c r="BA349">
        <v>1.183E-2</v>
      </c>
      <c r="BB349">
        <v>1</v>
      </c>
      <c r="BC349" t="s">
        <v>70</v>
      </c>
      <c r="BD349">
        <v>0.34</v>
      </c>
      <c r="BE349">
        <v>0.34</v>
      </c>
      <c r="BF349" t="s">
        <v>71</v>
      </c>
      <c r="BG349">
        <v>0.144859813084112</v>
      </c>
      <c r="BI349">
        <v>66</v>
      </c>
      <c r="BJ349">
        <v>1.183E-2</v>
      </c>
      <c r="BK349">
        <v>0.144859813084112</v>
      </c>
    </row>
    <row r="350" spans="1:63">
      <c r="A350">
        <v>1773</v>
      </c>
      <c r="B350" t="s">
        <v>1987</v>
      </c>
      <c r="D350" t="s">
        <v>60</v>
      </c>
      <c r="E350">
        <v>1876584</v>
      </c>
      <c r="F350">
        <v>1877846</v>
      </c>
      <c r="G350" t="s">
        <v>74</v>
      </c>
      <c r="H350">
        <v>421</v>
      </c>
      <c r="I350" t="s">
        <v>106</v>
      </c>
      <c r="J350">
        <v>4</v>
      </c>
      <c r="K350" t="str">
        <f>HYPERLINK("Gene1773-zp_tree_all.dnd", "Gene1773-tree")</f>
        <v>Gene1773-tree</v>
      </c>
      <c r="L350">
        <v>1</v>
      </c>
      <c r="M350">
        <v>3</v>
      </c>
      <c r="N350">
        <v>1</v>
      </c>
      <c r="O350">
        <v>3</v>
      </c>
      <c r="P350">
        <v>0.75</v>
      </c>
      <c r="Q350" t="s">
        <v>65</v>
      </c>
      <c r="R350" t="s">
        <v>86</v>
      </c>
      <c r="S350" t="s">
        <v>66</v>
      </c>
      <c r="T350" t="s">
        <v>66</v>
      </c>
      <c r="U350">
        <v>0</v>
      </c>
      <c r="V350">
        <v>0</v>
      </c>
      <c r="W350">
        <v>6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6</v>
      </c>
      <c r="AH350">
        <v>0</v>
      </c>
      <c r="AI350">
        <v>4</v>
      </c>
      <c r="AJ350">
        <v>1</v>
      </c>
      <c r="AK350">
        <v>74</v>
      </c>
      <c r="AL350">
        <v>6</v>
      </c>
      <c r="AM350">
        <v>4</v>
      </c>
      <c r="AN350">
        <v>0</v>
      </c>
      <c r="AO350" t="s">
        <v>1989</v>
      </c>
      <c r="AP350" t="s">
        <v>68</v>
      </c>
      <c r="AQ350">
        <v>1.506</v>
      </c>
      <c r="AR350" t="s">
        <v>69</v>
      </c>
      <c r="AS350">
        <v>78</v>
      </c>
      <c r="AT350">
        <v>6</v>
      </c>
      <c r="AU350">
        <v>3.193E-2</v>
      </c>
      <c r="AV350">
        <v>-6.4400000000000004E-3</v>
      </c>
      <c r="AW350">
        <v>0.14271</v>
      </c>
      <c r="AX350">
        <v>-3.1530000000000002E-2</v>
      </c>
      <c r="AY350">
        <v>3.1099999999999999E-3</v>
      </c>
      <c r="AZ350">
        <v>-5.5000000000000003E-4</v>
      </c>
      <c r="BA350">
        <v>2.1760000000000002E-2</v>
      </c>
      <c r="BB350">
        <v>1</v>
      </c>
      <c r="BC350" t="s">
        <v>70</v>
      </c>
      <c r="BD350">
        <v>-0.28299999999999997</v>
      </c>
      <c r="BE350">
        <v>-0.66</v>
      </c>
      <c r="BF350" t="s">
        <v>71</v>
      </c>
      <c r="BG350">
        <v>0.11340206185567001</v>
      </c>
      <c r="BI350">
        <v>84</v>
      </c>
      <c r="BJ350">
        <v>2.1760000000000002E-2</v>
      </c>
      <c r="BK350">
        <v>0.11340206185567001</v>
      </c>
    </row>
    <row r="351" spans="1:63">
      <c r="A351">
        <v>1774</v>
      </c>
      <c r="B351" t="s">
        <v>1990</v>
      </c>
      <c r="D351" t="s">
        <v>60</v>
      </c>
      <c r="E351">
        <v>1877959</v>
      </c>
      <c r="F351">
        <v>1878363</v>
      </c>
      <c r="G351" t="s">
        <v>940</v>
      </c>
      <c r="H351">
        <v>135</v>
      </c>
      <c r="I351" t="s">
        <v>63</v>
      </c>
      <c r="J351">
        <v>5</v>
      </c>
      <c r="K351" t="str">
        <f>HYPERLINK("Gene1774-zp_tree_all.dnd", "Gene1774-tree")</f>
        <v>Gene1774-tree</v>
      </c>
      <c r="L351">
        <v>2</v>
      </c>
      <c r="M351">
        <v>3</v>
      </c>
      <c r="N351">
        <v>1</v>
      </c>
      <c r="O351">
        <v>3</v>
      </c>
      <c r="P351">
        <v>0.75</v>
      </c>
      <c r="Q351" t="s">
        <v>65</v>
      </c>
      <c r="R351" t="s">
        <v>86</v>
      </c>
      <c r="S351" t="s">
        <v>66</v>
      </c>
      <c r="T351" t="s">
        <v>66</v>
      </c>
      <c r="U351">
        <v>0</v>
      </c>
      <c r="V351">
        <v>0</v>
      </c>
      <c r="W351">
        <v>3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3</v>
      </c>
      <c r="AH351">
        <v>0</v>
      </c>
      <c r="AI351">
        <v>4</v>
      </c>
      <c r="AJ351">
        <v>1</v>
      </c>
      <c r="AK351">
        <v>6</v>
      </c>
      <c r="AL351">
        <v>3</v>
      </c>
      <c r="AM351">
        <v>4</v>
      </c>
      <c r="AN351">
        <v>0</v>
      </c>
      <c r="AO351" t="s">
        <v>1992</v>
      </c>
      <c r="AP351" t="s">
        <v>68</v>
      </c>
      <c r="AQ351">
        <v>2.2349999999999999</v>
      </c>
      <c r="AR351" t="s">
        <v>239</v>
      </c>
      <c r="AS351">
        <v>10</v>
      </c>
      <c r="AT351">
        <v>3</v>
      </c>
      <c r="AU351">
        <v>1.687E-2</v>
      </c>
      <c r="AV351">
        <v>-1.7899999999999999E-3</v>
      </c>
      <c r="AW351">
        <v>6.6669999999999993E-2</v>
      </c>
      <c r="AX351">
        <v>-0.01</v>
      </c>
      <c r="AY351">
        <v>4.6899999999999997E-3</v>
      </c>
      <c r="AZ351">
        <v>-6.4000000000000005E-4</v>
      </c>
      <c r="BA351">
        <v>7.0349999999999996E-2</v>
      </c>
      <c r="BB351">
        <v>1</v>
      </c>
      <c r="BC351" t="s">
        <v>70</v>
      </c>
      <c r="BD351">
        <v>0.55200000000000005</v>
      </c>
      <c r="BE351">
        <v>0.55200000000000005</v>
      </c>
      <c r="BF351" t="s">
        <v>71</v>
      </c>
      <c r="BG351">
        <v>4.8780487804878002E-2</v>
      </c>
      <c r="BI351">
        <v>13</v>
      </c>
      <c r="BJ351">
        <v>7.0349999999999996E-2</v>
      </c>
      <c r="BK351">
        <v>4.8780487804878002E-2</v>
      </c>
    </row>
    <row r="352" spans="1:63">
      <c r="A352">
        <v>1775</v>
      </c>
      <c r="B352" t="s">
        <v>1993</v>
      </c>
      <c r="D352" t="s">
        <v>60</v>
      </c>
      <c r="E352">
        <v>1878425</v>
      </c>
      <c r="F352">
        <v>1879756</v>
      </c>
      <c r="G352" t="s">
        <v>1995</v>
      </c>
      <c r="H352">
        <v>444</v>
      </c>
      <c r="I352" t="s">
        <v>63</v>
      </c>
      <c r="J352">
        <v>5</v>
      </c>
      <c r="K352" t="str">
        <f>HYPERLINK("Gene1775-zp_tree_all.dnd", "Gene1775-tree")</f>
        <v>Gene1775-tree</v>
      </c>
      <c r="L352">
        <v>3</v>
      </c>
      <c r="M352">
        <v>2</v>
      </c>
      <c r="N352">
        <v>3</v>
      </c>
      <c r="O352">
        <v>2</v>
      </c>
      <c r="P352">
        <v>0.4</v>
      </c>
      <c r="Q352" t="s">
        <v>86</v>
      </c>
      <c r="R352" t="s">
        <v>124</v>
      </c>
      <c r="S352" t="s">
        <v>66</v>
      </c>
      <c r="T352" t="s">
        <v>66</v>
      </c>
      <c r="U352">
        <v>0</v>
      </c>
      <c r="V352">
        <v>0</v>
      </c>
      <c r="W352">
        <v>4</v>
      </c>
      <c r="X352">
        <v>0</v>
      </c>
      <c r="Y352">
        <v>0</v>
      </c>
      <c r="Z352">
        <v>0</v>
      </c>
      <c r="AA352">
        <v>0</v>
      </c>
      <c r="AB352">
        <v>3</v>
      </c>
      <c r="AC352">
        <v>0</v>
      </c>
      <c r="AD352">
        <v>0</v>
      </c>
      <c r="AE352">
        <v>0</v>
      </c>
      <c r="AF352">
        <v>0</v>
      </c>
      <c r="AG352">
        <v>2</v>
      </c>
      <c r="AH352">
        <v>0</v>
      </c>
      <c r="AI352">
        <v>5</v>
      </c>
      <c r="AJ352">
        <v>2</v>
      </c>
      <c r="AK352">
        <v>54</v>
      </c>
      <c r="AL352">
        <v>2</v>
      </c>
      <c r="AM352">
        <v>29</v>
      </c>
      <c r="AN352">
        <v>3</v>
      </c>
      <c r="AO352" t="s">
        <v>1996</v>
      </c>
      <c r="AP352" t="s">
        <v>1997</v>
      </c>
      <c r="AQ352">
        <v>0.63700000000000001</v>
      </c>
      <c r="AR352" t="s">
        <v>69</v>
      </c>
      <c r="AS352">
        <v>83</v>
      </c>
      <c r="AT352">
        <v>5</v>
      </c>
      <c r="AU352">
        <v>2.988E-2</v>
      </c>
      <c r="AV352">
        <v>-3.5999999999999999E-3</v>
      </c>
      <c r="AW352">
        <v>0.13944999999999999</v>
      </c>
      <c r="AX352">
        <v>-1.7409999999999998E-2</v>
      </c>
      <c r="AY352">
        <v>2.5200000000000001E-3</v>
      </c>
      <c r="AZ352">
        <v>-5.0000000000000001E-4</v>
      </c>
      <c r="BA352">
        <v>1.804E-2</v>
      </c>
      <c r="BB352">
        <v>1</v>
      </c>
      <c r="BC352" t="s">
        <v>70</v>
      </c>
      <c r="BD352">
        <v>0.27700000000000002</v>
      </c>
      <c r="BE352">
        <v>0.04</v>
      </c>
      <c r="BF352" t="s">
        <v>71</v>
      </c>
      <c r="BG352">
        <v>-6.8027210884353704E-3</v>
      </c>
      <c r="BI352">
        <v>88</v>
      </c>
      <c r="BJ352">
        <v>1.804E-2</v>
      </c>
      <c r="BK352">
        <v>-6.8027210884353704E-3</v>
      </c>
    </row>
    <row r="353" spans="1:63">
      <c r="A353">
        <v>1787</v>
      </c>
      <c r="B353" t="s">
        <v>1998</v>
      </c>
      <c r="D353" t="s">
        <v>60</v>
      </c>
      <c r="E353">
        <v>1887352</v>
      </c>
      <c r="F353">
        <v>1888740</v>
      </c>
      <c r="G353" t="s">
        <v>1286</v>
      </c>
      <c r="H353">
        <v>463</v>
      </c>
      <c r="I353" t="s">
        <v>85</v>
      </c>
      <c r="J353">
        <v>4</v>
      </c>
      <c r="K353" t="str">
        <f>HYPERLINK("Gene1787-zp_tree_all.dnd", "Gene1787-tree")</f>
        <v>Gene1787-tree</v>
      </c>
      <c r="L353">
        <v>1</v>
      </c>
      <c r="M353">
        <v>3</v>
      </c>
      <c r="N353">
        <v>1</v>
      </c>
      <c r="O353">
        <v>3</v>
      </c>
      <c r="P353">
        <v>0.75</v>
      </c>
      <c r="Q353" t="s">
        <v>65</v>
      </c>
      <c r="R353" t="s">
        <v>86</v>
      </c>
      <c r="S353" t="s">
        <v>66</v>
      </c>
      <c r="T353" t="s">
        <v>66</v>
      </c>
      <c r="U353">
        <v>1</v>
      </c>
      <c r="V353">
        <v>2</v>
      </c>
      <c r="W353">
        <v>15</v>
      </c>
      <c r="X353">
        <v>0.11765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2</v>
      </c>
      <c r="AE353">
        <v>0</v>
      </c>
      <c r="AF353">
        <v>2</v>
      </c>
      <c r="AG353">
        <v>15</v>
      </c>
      <c r="AH353">
        <v>0.11765</v>
      </c>
      <c r="AI353">
        <v>4</v>
      </c>
      <c r="AJ353">
        <v>1</v>
      </c>
      <c r="AK353">
        <v>59</v>
      </c>
      <c r="AL353">
        <v>16</v>
      </c>
      <c r="AM353">
        <v>10</v>
      </c>
      <c r="AN353">
        <v>1</v>
      </c>
      <c r="AO353" t="s">
        <v>2000</v>
      </c>
      <c r="AP353" t="s">
        <v>2001</v>
      </c>
      <c r="AQ353">
        <v>0.56100000000000005</v>
      </c>
      <c r="AR353" t="s">
        <v>69</v>
      </c>
      <c r="AS353">
        <v>69</v>
      </c>
      <c r="AT353">
        <v>17</v>
      </c>
      <c r="AU353">
        <v>3.1559999999999998E-2</v>
      </c>
      <c r="AV353">
        <v>-6.6899999999999998E-3</v>
      </c>
      <c r="AW353">
        <v>0.11817</v>
      </c>
      <c r="AX353">
        <v>-2.5360000000000001E-2</v>
      </c>
      <c r="AY353">
        <v>7.9399999999999991E-3</v>
      </c>
      <c r="AZ353">
        <v>-1.98E-3</v>
      </c>
      <c r="BA353">
        <v>6.7169999999999994E-2</v>
      </c>
      <c r="BB353">
        <v>1</v>
      </c>
      <c r="BC353" t="s">
        <v>70</v>
      </c>
      <c r="BD353">
        <v>-0.33200000000000002</v>
      </c>
      <c r="BE353">
        <v>-0.44800000000000001</v>
      </c>
      <c r="BF353" t="s">
        <v>71</v>
      </c>
      <c r="BG353">
        <v>0.141762452107279</v>
      </c>
      <c r="BI353">
        <v>86</v>
      </c>
      <c r="BJ353">
        <v>6.7169999999999994E-2</v>
      </c>
      <c r="BK353">
        <v>0.141762452107279</v>
      </c>
    </row>
    <row r="354" spans="1:63">
      <c r="A354">
        <v>1790</v>
      </c>
      <c r="B354" t="s">
        <v>2002</v>
      </c>
      <c r="D354" t="s">
        <v>60</v>
      </c>
      <c r="E354">
        <v>1891908</v>
      </c>
      <c r="F354">
        <v>1893242</v>
      </c>
      <c r="G354" t="s">
        <v>2004</v>
      </c>
      <c r="H354">
        <v>445</v>
      </c>
      <c r="I354" t="s">
        <v>63</v>
      </c>
      <c r="J354">
        <v>5</v>
      </c>
      <c r="K354" t="str">
        <f>HYPERLINK("Gene1790-zp_tree_all.dnd", "Gene1790-tree")</f>
        <v>Gene1790-tree</v>
      </c>
      <c r="L354">
        <v>0</v>
      </c>
      <c r="M354">
        <v>5</v>
      </c>
      <c r="N354">
        <v>0</v>
      </c>
      <c r="O354">
        <v>5</v>
      </c>
      <c r="P354">
        <v>1</v>
      </c>
      <c r="Q354" t="s">
        <v>66</v>
      </c>
      <c r="R354" t="s">
        <v>96</v>
      </c>
      <c r="S354" t="s">
        <v>66</v>
      </c>
      <c r="T354" t="s">
        <v>66</v>
      </c>
      <c r="U354">
        <v>2</v>
      </c>
      <c r="V354">
        <v>4</v>
      </c>
      <c r="W354">
        <v>20</v>
      </c>
      <c r="X354">
        <v>0.16667000000000001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4</v>
      </c>
      <c r="AF354">
        <v>4</v>
      </c>
      <c r="AG354">
        <v>20</v>
      </c>
      <c r="AH354">
        <v>0.16667000000000001</v>
      </c>
      <c r="AI354">
        <v>5</v>
      </c>
      <c r="AJ354">
        <v>2</v>
      </c>
      <c r="AK354">
        <v>25</v>
      </c>
      <c r="AL354">
        <v>11</v>
      </c>
      <c r="AM354">
        <v>39</v>
      </c>
      <c r="AN354">
        <v>16</v>
      </c>
      <c r="AO354" t="s">
        <v>2005</v>
      </c>
      <c r="AP354" t="s">
        <v>2006</v>
      </c>
      <c r="AQ354">
        <v>0.11</v>
      </c>
      <c r="AR354" t="s">
        <v>69</v>
      </c>
      <c r="AS354">
        <v>64</v>
      </c>
      <c r="AT354">
        <v>27</v>
      </c>
      <c r="AU354">
        <v>3.4680000000000002E-2</v>
      </c>
      <c r="AV354">
        <v>-6.2199999999999998E-3</v>
      </c>
      <c r="AW354">
        <v>0.12324</v>
      </c>
      <c r="AX354">
        <v>-2.3439999999999999E-2</v>
      </c>
      <c r="AY354">
        <v>1.359E-2</v>
      </c>
      <c r="AZ354">
        <v>-2.3600000000000001E-3</v>
      </c>
      <c r="BA354">
        <v>0.11024</v>
      </c>
      <c r="BB354">
        <v>1</v>
      </c>
      <c r="BC354" t="s">
        <v>70</v>
      </c>
      <c r="BD354">
        <v>0.92300000000000004</v>
      </c>
      <c r="BE354">
        <v>0.68400000000000005</v>
      </c>
      <c r="BF354" t="s">
        <v>71</v>
      </c>
      <c r="BG354">
        <v>0.114814814814814</v>
      </c>
      <c r="BI354">
        <v>91</v>
      </c>
      <c r="BJ354">
        <v>0.11024</v>
      </c>
      <c r="BK354">
        <v>0.114814814814814</v>
      </c>
    </row>
    <row r="355" spans="1:63">
      <c r="A355">
        <v>1821</v>
      </c>
      <c r="B355" t="s">
        <v>2013</v>
      </c>
      <c r="D355" t="s">
        <v>60</v>
      </c>
      <c r="E355">
        <v>1922017</v>
      </c>
      <c r="F355">
        <v>1922460</v>
      </c>
      <c r="G355" t="s">
        <v>2015</v>
      </c>
      <c r="H355">
        <v>148</v>
      </c>
      <c r="I355" t="s">
        <v>106</v>
      </c>
      <c r="J355">
        <v>4</v>
      </c>
      <c r="K355" t="str">
        <f>HYPERLINK("Gene1821-zp_tree_all.dnd", "Gene1821-tree")</f>
        <v>Gene1821-tree</v>
      </c>
      <c r="L355">
        <v>2</v>
      </c>
      <c r="M355">
        <v>2</v>
      </c>
      <c r="N355">
        <v>2</v>
      </c>
      <c r="O355">
        <v>2</v>
      </c>
      <c r="P355">
        <v>0.5</v>
      </c>
      <c r="Q355" t="s">
        <v>124</v>
      </c>
      <c r="R355" t="s">
        <v>124</v>
      </c>
      <c r="S355" t="s">
        <v>66</v>
      </c>
      <c r="T355" t="s">
        <v>66</v>
      </c>
      <c r="U355">
        <v>0</v>
      </c>
      <c r="V355">
        <v>0</v>
      </c>
      <c r="W355">
        <v>5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5</v>
      </c>
      <c r="AH355">
        <v>0</v>
      </c>
      <c r="AI355">
        <v>3</v>
      </c>
      <c r="AJ355">
        <v>1</v>
      </c>
      <c r="AK355">
        <v>16</v>
      </c>
      <c r="AL355">
        <v>6</v>
      </c>
      <c r="AM355">
        <v>1</v>
      </c>
      <c r="AN355">
        <v>0</v>
      </c>
      <c r="AO355" t="s">
        <v>2016</v>
      </c>
      <c r="AP355" t="s">
        <v>68</v>
      </c>
      <c r="AQ355">
        <v>0.68</v>
      </c>
      <c r="AR355" t="s">
        <v>69</v>
      </c>
      <c r="AS355">
        <v>17</v>
      </c>
      <c r="AT355">
        <v>6</v>
      </c>
      <c r="AU355">
        <v>2.6280000000000001E-2</v>
      </c>
      <c r="AV355">
        <v>-8.3199999999999993E-3</v>
      </c>
      <c r="AW355">
        <v>0.10909000000000001</v>
      </c>
      <c r="AX355">
        <v>-3.5380000000000002E-2</v>
      </c>
      <c r="AY355">
        <v>8.5299999999999994E-3</v>
      </c>
      <c r="AZ355">
        <v>-2.7699999999999999E-3</v>
      </c>
      <c r="BA355">
        <v>7.8219999999999998E-2</v>
      </c>
      <c r="BB355">
        <v>1</v>
      </c>
      <c r="BC355" t="s">
        <v>70</v>
      </c>
      <c r="BD355">
        <v>-0.72</v>
      </c>
      <c r="BE355">
        <v>-0.72</v>
      </c>
      <c r="BF355" t="s">
        <v>71</v>
      </c>
      <c r="BG355">
        <v>0.144508670520231</v>
      </c>
      <c r="BI355">
        <v>23</v>
      </c>
      <c r="BJ355">
        <v>7.8219999999999998E-2</v>
      </c>
      <c r="BK355">
        <v>0.144508670520231</v>
      </c>
    </row>
    <row r="356" spans="1:63">
      <c r="A356">
        <v>1824</v>
      </c>
      <c r="B356" t="s">
        <v>2022</v>
      </c>
      <c r="D356" t="s">
        <v>60</v>
      </c>
      <c r="E356">
        <v>1923234</v>
      </c>
      <c r="F356">
        <v>1923938</v>
      </c>
      <c r="G356" t="s">
        <v>2024</v>
      </c>
      <c r="H356">
        <v>235</v>
      </c>
      <c r="I356" t="s">
        <v>85</v>
      </c>
      <c r="J356">
        <v>4</v>
      </c>
      <c r="K356" t="str">
        <f>HYPERLINK("Gene1824-zp_tree_all.dnd", "Gene1824-tree")</f>
        <v>Gene1824-tree</v>
      </c>
      <c r="L356">
        <v>2</v>
      </c>
      <c r="M356">
        <v>2</v>
      </c>
      <c r="N356">
        <v>2</v>
      </c>
      <c r="O356">
        <v>2</v>
      </c>
      <c r="P356">
        <v>0.5</v>
      </c>
      <c r="Q356" t="s">
        <v>124</v>
      </c>
      <c r="R356" t="s">
        <v>124</v>
      </c>
      <c r="S356" t="s">
        <v>66</v>
      </c>
      <c r="T356" t="s">
        <v>66</v>
      </c>
      <c r="U356">
        <v>0</v>
      </c>
      <c r="V356">
        <v>0</v>
      </c>
      <c r="W356">
        <v>5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5</v>
      </c>
      <c r="AH356">
        <v>0</v>
      </c>
      <c r="AI356">
        <v>4</v>
      </c>
      <c r="AJ356">
        <v>1</v>
      </c>
      <c r="AK356">
        <v>34</v>
      </c>
      <c r="AL356">
        <v>4</v>
      </c>
      <c r="AM356">
        <v>5</v>
      </c>
      <c r="AN356">
        <v>1</v>
      </c>
      <c r="AO356" t="s">
        <v>2025</v>
      </c>
      <c r="AP356" t="s">
        <v>2026</v>
      </c>
      <c r="AQ356">
        <v>0.622</v>
      </c>
      <c r="AR356" t="s">
        <v>69</v>
      </c>
      <c r="AS356">
        <v>39</v>
      </c>
      <c r="AT356">
        <v>5</v>
      </c>
      <c r="AU356">
        <v>3.0970000000000001E-2</v>
      </c>
      <c r="AV356">
        <v>-7.0099999999999997E-3</v>
      </c>
      <c r="AW356">
        <v>0.12912000000000001</v>
      </c>
      <c r="AX356">
        <v>-3.2719999999999999E-2</v>
      </c>
      <c r="AY356">
        <v>4.9699999999999996E-3</v>
      </c>
      <c r="AZ356">
        <v>-9.5E-4</v>
      </c>
      <c r="BA356">
        <v>3.8519999999999999E-2</v>
      </c>
      <c r="BB356">
        <v>1</v>
      </c>
      <c r="BC356" t="s">
        <v>70</v>
      </c>
      <c r="BD356">
        <v>7.0000000000000001E-3</v>
      </c>
      <c r="BE356">
        <v>-0.94399999999999995</v>
      </c>
      <c r="BF356" t="s">
        <v>71</v>
      </c>
      <c r="BG356">
        <v>0.16498316498316401</v>
      </c>
      <c r="BI356">
        <v>44</v>
      </c>
      <c r="BJ356">
        <v>3.8519999999999999E-2</v>
      </c>
      <c r="BK356">
        <v>0.16498316498316401</v>
      </c>
    </row>
    <row r="357" spans="1:63">
      <c r="A357">
        <v>1825</v>
      </c>
      <c r="B357" t="s">
        <v>2027</v>
      </c>
      <c r="D357" t="s">
        <v>60</v>
      </c>
      <c r="E357">
        <v>1924030</v>
      </c>
      <c r="F357">
        <v>1924389</v>
      </c>
      <c r="G357" t="s">
        <v>2029</v>
      </c>
      <c r="H357">
        <v>120</v>
      </c>
      <c r="I357" t="s">
        <v>106</v>
      </c>
      <c r="J357">
        <v>4</v>
      </c>
      <c r="K357" t="str">
        <f>HYPERLINK("Gene1825-zp_tree_all.dnd", "Gene1825-tree")</f>
        <v>Gene1825-tree</v>
      </c>
      <c r="L357">
        <v>2</v>
      </c>
      <c r="M357">
        <v>2</v>
      </c>
      <c r="N357">
        <v>2</v>
      </c>
      <c r="O357">
        <v>2</v>
      </c>
      <c r="P357">
        <v>0.5</v>
      </c>
      <c r="Q357" t="s">
        <v>124</v>
      </c>
      <c r="R357" t="s">
        <v>124</v>
      </c>
      <c r="S357" t="s">
        <v>66</v>
      </c>
      <c r="T357" t="s">
        <v>66</v>
      </c>
      <c r="U357">
        <v>0</v>
      </c>
      <c r="V357">
        <v>0</v>
      </c>
      <c r="W357">
        <v>3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3</v>
      </c>
      <c r="AH357">
        <v>0</v>
      </c>
      <c r="AI357">
        <v>3</v>
      </c>
      <c r="AJ357">
        <v>1</v>
      </c>
      <c r="AK357">
        <v>16</v>
      </c>
      <c r="AL357">
        <v>3</v>
      </c>
      <c r="AM357">
        <v>1</v>
      </c>
      <c r="AN357">
        <v>0</v>
      </c>
      <c r="AO357" t="s">
        <v>2030</v>
      </c>
      <c r="AP357" t="s">
        <v>68</v>
      </c>
      <c r="AQ357">
        <v>0.84499999999999997</v>
      </c>
      <c r="AR357" t="s">
        <v>69</v>
      </c>
      <c r="AS357">
        <v>17</v>
      </c>
      <c r="AT357">
        <v>3</v>
      </c>
      <c r="AU357">
        <v>2.801E-2</v>
      </c>
      <c r="AV357">
        <v>-8.4600000000000005E-3</v>
      </c>
      <c r="AW357">
        <v>0.12077</v>
      </c>
      <c r="AX357">
        <v>-3.9E-2</v>
      </c>
      <c r="AY357">
        <v>5.4400000000000004E-3</v>
      </c>
      <c r="AZ357">
        <v>-1.42E-3</v>
      </c>
      <c r="BA357">
        <v>4.505E-2</v>
      </c>
      <c r="BB357">
        <v>1</v>
      </c>
      <c r="BC357" t="s">
        <v>70</v>
      </c>
      <c r="BD357">
        <v>-0.35899999999999999</v>
      </c>
      <c r="BE357">
        <v>-0.85299999999999998</v>
      </c>
      <c r="BF357" t="s">
        <v>71</v>
      </c>
      <c r="BG357">
        <v>0.18787878787878701</v>
      </c>
      <c r="BI357">
        <v>20</v>
      </c>
      <c r="BJ357">
        <v>4.505E-2</v>
      </c>
      <c r="BK357">
        <v>0.18787878787878701</v>
      </c>
    </row>
    <row r="358" spans="1:63">
      <c r="A358">
        <v>1826</v>
      </c>
      <c r="B358" t="s">
        <v>2031</v>
      </c>
      <c r="D358" t="s">
        <v>60</v>
      </c>
      <c r="E358">
        <v>1924471</v>
      </c>
      <c r="F358">
        <v>1924959</v>
      </c>
      <c r="G358" t="s">
        <v>74</v>
      </c>
      <c r="H358">
        <v>163</v>
      </c>
      <c r="I358" t="s">
        <v>63</v>
      </c>
      <c r="J358">
        <v>5</v>
      </c>
      <c r="K358" t="str">
        <f>HYPERLINK("Gene1826-zp_tree_all.dnd", "Gene1826-tree")</f>
        <v>Gene1826-tree</v>
      </c>
      <c r="L358">
        <v>2</v>
      </c>
      <c r="M358">
        <v>3</v>
      </c>
      <c r="N358">
        <v>2</v>
      </c>
      <c r="O358">
        <v>3</v>
      </c>
      <c r="P358">
        <v>0.6</v>
      </c>
      <c r="Q358" t="s">
        <v>124</v>
      </c>
      <c r="R358" t="s">
        <v>86</v>
      </c>
      <c r="S358" t="s">
        <v>66</v>
      </c>
      <c r="T358" t="s">
        <v>66</v>
      </c>
      <c r="U358">
        <v>0</v>
      </c>
      <c r="V358">
        <v>0</v>
      </c>
      <c r="W358">
        <v>6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>
        <v>5</v>
      </c>
      <c r="AH358">
        <v>0</v>
      </c>
      <c r="AI358">
        <v>5</v>
      </c>
      <c r="AJ358">
        <v>2</v>
      </c>
      <c r="AK358">
        <v>10</v>
      </c>
      <c r="AL358">
        <v>4</v>
      </c>
      <c r="AM358">
        <v>12</v>
      </c>
      <c r="AN358">
        <v>2</v>
      </c>
      <c r="AO358" t="s">
        <v>2033</v>
      </c>
      <c r="AP358" t="s">
        <v>2034</v>
      </c>
      <c r="AQ358">
        <v>0.99399999999999999</v>
      </c>
      <c r="AR358" t="s">
        <v>69</v>
      </c>
      <c r="AS358">
        <v>22</v>
      </c>
      <c r="AT358">
        <v>6</v>
      </c>
      <c r="AU358">
        <v>2.7810000000000001E-2</v>
      </c>
      <c r="AV358">
        <v>-4.2500000000000003E-3</v>
      </c>
      <c r="AW358">
        <v>0.10983</v>
      </c>
      <c r="AX358">
        <v>-1.9009999999999999E-2</v>
      </c>
      <c r="AY358">
        <v>7.3899999999999999E-3</v>
      </c>
      <c r="AZ358">
        <v>-1.0499999999999999E-3</v>
      </c>
      <c r="BA358">
        <v>6.7299999999999999E-2</v>
      </c>
      <c r="BB358">
        <v>1</v>
      </c>
      <c r="BC358" t="s">
        <v>70</v>
      </c>
      <c r="BD358">
        <v>0.36799999999999999</v>
      </c>
      <c r="BE358">
        <v>0.36799999999999999</v>
      </c>
      <c r="BF358" t="s">
        <v>71</v>
      </c>
      <c r="BG358">
        <v>0.157894736842105</v>
      </c>
      <c r="BI358">
        <v>28</v>
      </c>
      <c r="BJ358">
        <v>6.7299999999999999E-2</v>
      </c>
      <c r="BK358">
        <v>0.157894736842105</v>
      </c>
    </row>
    <row r="359" spans="1:63">
      <c r="A359">
        <v>1833</v>
      </c>
      <c r="B359" t="s">
        <v>2044</v>
      </c>
      <c r="D359" t="s">
        <v>60</v>
      </c>
      <c r="E359">
        <v>1930074</v>
      </c>
      <c r="F359">
        <v>1930196</v>
      </c>
      <c r="G359" t="s">
        <v>74</v>
      </c>
      <c r="H359">
        <v>41</v>
      </c>
      <c r="I359" t="s">
        <v>63</v>
      </c>
      <c r="J359">
        <v>5</v>
      </c>
      <c r="K359" t="str">
        <f>HYPERLINK("Gene1833-zp_tree_all.dnd", "Gene1833-tree")</f>
        <v>Gene1833-tree</v>
      </c>
      <c r="L359">
        <v>5</v>
      </c>
      <c r="M359">
        <v>0</v>
      </c>
      <c r="N359">
        <v>4</v>
      </c>
      <c r="O359">
        <v>0</v>
      </c>
      <c r="P359">
        <v>0</v>
      </c>
      <c r="Q359" t="s">
        <v>135</v>
      </c>
      <c r="R359" t="s">
        <v>66</v>
      </c>
      <c r="S359" t="s">
        <v>66</v>
      </c>
      <c r="T359" t="s">
        <v>66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3</v>
      </c>
      <c r="AJ359">
        <v>0</v>
      </c>
      <c r="AK359">
        <v>4</v>
      </c>
      <c r="AL359">
        <v>0</v>
      </c>
      <c r="AM359">
        <v>0</v>
      </c>
      <c r="AN359">
        <v>0</v>
      </c>
      <c r="AO359" t="s">
        <v>68</v>
      </c>
      <c r="AP359" t="s">
        <v>68</v>
      </c>
      <c r="AQ359">
        <v>0</v>
      </c>
      <c r="AR359" t="s">
        <v>69</v>
      </c>
      <c r="AS359">
        <v>4</v>
      </c>
      <c r="AT359">
        <v>0</v>
      </c>
      <c r="AU359">
        <v>1.626E-2</v>
      </c>
      <c r="AV359">
        <v>-2.7100000000000002E-3</v>
      </c>
      <c r="AW359">
        <v>9.9739999999999995E-2</v>
      </c>
      <c r="AX359">
        <v>-1.7579999999999998E-2</v>
      </c>
      <c r="AY359">
        <v>0</v>
      </c>
      <c r="AZ359">
        <v>0</v>
      </c>
      <c r="BA359">
        <v>0</v>
      </c>
      <c r="BB359">
        <v>1</v>
      </c>
      <c r="BC359" t="s">
        <v>70</v>
      </c>
      <c r="BD359">
        <v>0.27300000000000002</v>
      </c>
      <c r="BE359">
        <v>0.27300000000000002</v>
      </c>
      <c r="BF359" t="s">
        <v>71</v>
      </c>
      <c r="BG359">
        <v>0.22727272727272699</v>
      </c>
      <c r="BI359">
        <v>4</v>
      </c>
      <c r="BJ359">
        <v>0</v>
      </c>
      <c r="BK359">
        <v>0.22727272727272699</v>
      </c>
    </row>
    <row r="360" spans="1:63">
      <c r="A360">
        <v>1834</v>
      </c>
      <c r="B360" t="s">
        <v>2046</v>
      </c>
      <c r="D360" t="s">
        <v>60</v>
      </c>
      <c r="E360">
        <v>1930264</v>
      </c>
      <c r="F360">
        <v>1930407</v>
      </c>
      <c r="G360" t="s">
        <v>2048</v>
      </c>
      <c r="H360">
        <v>48</v>
      </c>
      <c r="I360" t="s">
        <v>63</v>
      </c>
      <c r="J360">
        <v>5</v>
      </c>
      <c r="K360" t="str">
        <f>HYPERLINK("Gene1834-zp_tree_all.dnd", "Gene1834-tree")</f>
        <v>Gene1834-tree</v>
      </c>
      <c r="L360">
        <v>5</v>
      </c>
      <c r="M360">
        <v>0</v>
      </c>
      <c r="N360">
        <v>4</v>
      </c>
      <c r="O360">
        <v>0</v>
      </c>
      <c r="P360">
        <v>0</v>
      </c>
      <c r="Q360" t="s">
        <v>135</v>
      </c>
      <c r="R360" t="s">
        <v>66</v>
      </c>
      <c r="S360" t="s">
        <v>66</v>
      </c>
      <c r="T360" t="s">
        <v>66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3</v>
      </c>
      <c r="AJ360">
        <v>1</v>
      </c>
      <c r="AK360">
        <v>7</v>
      </c>
      <c r="AL360">
        <v>0</v>
      </c>
      <c r="AM360">
        <v>0</v>
      </c>
      <c r="AN360">
        <v>1</v>
      </c>
      <c r="AO360" t="s">
        <v>68</v>
      </c>
      <c r="AP360" t="s">
        <v>68</v>
      </c>
      <c r="AQ360">
        <v>0</v>
      </c>
      <c r="AR360" t="s">
        <v>69</v>
      </c>
      <c r="AS360">
        <v>7</v>
      </c>
      <c r="AT360">
        <v>1</v>
      </c>
      <c r="AU360">
        <v>2.4309999999999998E-2</v>
      </c>
      <c r="AV360">
        <v>-3.5699999999999998E-3</v>
      </c>
      <c r="AW360">
        <v>0.10621</v>
      </c>
      <c r="AX360">
        <v>-1.9529999999999999E-2</v>
      </c>
      <c r="AY360">
        <v>5.8300000000000001E-3</v>
      </c>
      <c r="AZ360">
        <v>-1.3699999999999999E-3</v>
      </c>
      <c r="BA360">
        <v>5.4899999999999997E-2</v>
      </c>
      <c r="BB360">
        <v>1</v>
      </c>
      <c r="BC360" t="s">
        <v>70</v>
      </c>
      <c r="BD360">
        <v>0.52500000000000002</v>
      </c>
      <c r="BE360">
        <v>-0.66800000000000004</v>
      </c>
      <c r="BF360" t="s">
        <v>71</v>
      </c>
      <c r="BG360">
        <v>7.9365079365079305E-2</v>
      </c>
      <c r="BI360">
        <v>8</v>
      </c>
      <c r="BJ360">
        <v>5.4899999999999997E-2</v>
      </c>
      <c r="BK360">
        <v>7.9365079365079305E-2</v>
      </c>
    </row>
    <row r="361" spans="1:63">
      <c r="A361">
        <v>1879</v>
      </c>
      <c r="B361" t="s">
        <v>2061</v>
      </c>
      <c r="D361" t="s">
        <v>60</v>
      </c>
      <c r="E361">
        <v>2014779</v>
      </c>
      <c r="F361">
        <v>2015678</v>
      </c>
      <c r="G361" t="s">
        <v>2063</v>
      </c>
      <c r="H361">
        <v>300</v>
      </c>
      <c r="I361" t="s">
        <v>63</v>
      </c>
      <c r="J361">
        <v>5</v>
      </c>
      <c r="K361" t="str">
        <f>HYPERLINK("Gene1879-zp_tree_all.dnd", "Gene1879-tree")</f>
        <v>Gene1879-tree</v>
      </c>
      <c r="L361">
        <v>4</v>
      </c>
      <c r="M361">
        <v>1</v>
      </c>
      <c r="N361">
        <v>4</v>
      </c>
      <c r="O361">
        <v>1</v>
      </c>
      <c r="P361">
        <v>0.2</v>
      </c>
      <c r="Q361" t="s">
        <v>64</v>
      </c>
      <c r="R361" t="s">
        <v>65</v>
      </c>
      <c r="S361" t="s">
        <v>66</v>
      </c>
      <c r="T361" t="s">
        <v>66</v>
      </c>
      <c r="U361">
        <v>0</v>
      </c>
      <c r="V361">
        <v>0</v>
      </c>
      <c r="W361">
        <v>5</v>
      </c>
      <c r="X361">
        <v>0</v>
      </c>
      <c r="Y361">
        <v>0</v>
      </c>
      <c r="Z361">
        <v>0</v>
      </c>
      <c r="AA361">
        <v>0</v>
      </c>
      <c r="AB361">
        <v>3</v>
      </c>
      <c r="AC361">
        <v>0</v>
      </c>
      <c r="AD361">
        <v>0</v>
      </c>
      <c r="AE361">
        <v>0</v>
      </c>
      <c r="AF361">
        <v>0</v>
      </c>
      <c r="AG361">
        <v>2</v>
      </c>
      <c r="AH361">
        <v>0</v>
      </c>
      <c r="AI361">
        <v>4</v>
      </c>
      <c r="AJ361">
        <v>2</v>
      </c>
      <c r="AK361">
        <v>21</v>
      </c>
      <c r="AL361">
        <v>2</v>
      </c>
      <c r="AM361">
        <v>29</v>
      </c>
      <c r="AN361">
        <v>3</v>
      </c>
      <c r="AO361" t="s">
        <v>2064</v>
      </c>
      <c r="AP361" t="s">
        <v>2065</v>
      </c>
      <c r="AQ361">
        <v>8.9999999999999993E-3</v>
      </c>
      <c r="AR361" t="s">
        <v>69</v>
      </c>
      <c r="AS361">
        <v>50</v>
      </c>
      <c r="AT361">
        <v>5</v>
      </c>
      <c r="AU361">
        <v>3.1E-2</v>
      </c>
      <c r="AV361">
        <v>-5.94E-3</v>
      </c>
      <c r="AW361">
        <v>0.13908999999999999</v>
      </c>
      <c r="AX361">
        <v>-2.7089999999999999E-2</v>
      </c>
      <c r="AY361">
        <v>3.7599999999999999E-3</v>
      </c>
      <c r="AZ361">
        <v>-8.9999999999999998E-4</v>
      </c>
      <c r="BA361">
        <v>2.7040000000000002E-2</v>
      </c>
      <c r="BB361">
        <v>1</v>
      </c>
      <c r="BC361" t="s">
        <v>70</v>
      </c>
      <c r="BD361">
        <v>0.73</v>
      </c>
      <c r="BE361">
        <v>0.58199999999999996</v>
      </c>
      <c r="BF361" t="s">
        <v>71</v>
      </c>
      <c r="BG361">
        <v>4.1450777202072499E-2</v>
      </c>
      <c r="BI361">
        <v>55</v>
      </c>
      <c r="BJ361">
        <v>2.7040000000000002E-2</v>
      </c>
      <c r="BK361">
        <v>4.1450777202072499E-2</v>
      </c>
    </row>
    <row r="362" spans="1:63">
      <c r="A362">
        <v>1919</v>
      </c>
      <c r="B362" t="s">
        <v>2070</v>
      </c>
      <c r="D362" t="s">
        <v>66</v>
      </c>
      <c r="E362">
        <v>2054602</v>
      </c>
      <c r="F362">
        <v>2055240</v>
      </c>
      <c r="G362" t="s">
        <v>2072</v>
      </c>
      <c r="H362">
        <v>213</v>
      </c>
      <c r="I362" t="s">
        <v>85</v>
      </c>
      <c r="J362">
        <v>4</v>
      </c>
      <c r="K362" t="str">
        <f>HYPERLINK("Gene1919-zp_tree_all.dnd", "Gene1919-tree")</f>
        <v>Gene1919-tree</v>
      </c>
      <c r="L362">
        <v>1</v>
      </c>
      <c r="M362">
        <v>3</v>
      </c>
      <c r="N362">
        <v>1</v>
      </c>
      <c r="O362">
        <v>3</v>
      </c>
      <c r="P362">
        <v>0.75</v>
      </c>
      <c r="Q362" t="s">
        <v>65</v>
      </c>
      <c r="R362" t="s">
        <v>86</v>
      </c>
      <c r="S362" t="s">
        <v>66</v>
      </c>
      <c r="T362" t="s">
        <v>66</v>
      </c>
      <c r="U362">
        <v>1</v>
      </c>
      <c r="V362">
        <v>2</v>
      </c>
      <c r="W362">
        <v>6</v>
      </c>
      <c r="X362">
        <v>0.25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</v>
      </c>
      <c r="AE362">
        <v>0</v>
      </c>
      <c r="AF362">
        <v>2</v>
      </c>
      <c r="AG362">
        <v>6</v>
      </c>
      <c r="AH362">
        <v>0.25</v>
      </c>
      <c r="AI362">
        <v>4</v>
      </c>
      <c r="AJ362">
        <v>1</v>
      </c>
      <c r="AK362">
        <v>25</v>
      </c>
      <c r="AL362">
        <v>8</v>
      </c>
      <c r="AM362">
        <v>7</v>
      </c>
      <c r="AN362">
        <v>1</v>
      </c>
      <c r="AO362" t="s">
        <v>2073</v>
      </c>
      <c r="AP362" t="s">
        <v>2074</v>
      </c>
      <c r="AQ362">
        <v>1.1859999999999999</v>
      </c>
      <c r="AR362" t="s">
        <v>69</v>
      </c>
      <c r="AS362">
        <v>32</v>
      </c>
      <c r="AT362">
        <v>9</v>
      </c>
      <c r="AU362">
        <v>3.1559999999999998E-2</v>
      </c>
      <c r="AV362">
        <v>-2.8400000000000001E-3</v>
      </c>
      <c r="AW362">
        <v>0.11369</v>
      </c>
      <c r="AX362">
        <v>-9.0500000000000008E-3</v>
      </c>
      <c r="AY362">
        <v>8.94E-3</v>
      </c>
      <c r="AZ362">
        <v>-2.0500000000000002E-3</v>
      </c>
      <c r="BA362">
        <v>7.8640000000000002E-2</v>
      </c>
      <c r="BB362">
        <v>1</v>
      </c>
      <c r="BC362" t="s">
        <v>70</v>
      </c>
      <c r="BD362">
        <v>0.28000000000000003</v>
      </c>
      <c r="BE362">
        <v>-0.248</v>
      </c>
      <c r="BF362" t="s">
        <v>71</v>
      </c>
      <c r="BG362">
        <v>0.194139194139194</v>
      </c>
      <c r="BI362">
        <v>41</v>
      </c>
      <c r="BJ362">
        <v>7.8640000000000002E-2</v>
      </c>
      <c r="BK362">
        <v>0.194139194139194</v>
      </c>
    </row>
    <row r="363" spans="1:63">
      <c r="A363">
        <v>1969</v>
      </c>
      <c r="B363" t="s">
        <v>2082</v>
      </c>
      <c r="D363" t="s">
        <v>66</v>
      </c>
      <c r="E363">
        <v>2099449</v>
      </c>
      <c r="F363">
        <v>2099790</v>
      </c>
      <c r="G363" t="s">
        <v>74</v>
      </c>
      <c r="H363">
        <v>114</v>
      </c>
      <c r="I363" t="s">
        <v>63</v>
      </c>
      <c r="J363">
        <v>5</v>
      </c>
      <c r="K363" t="str">
        <f>HYPERLINK("Gene1969-zp_tree_all.dnd", "Gene1969-tree")</f>
        <v>Gene1969-tree</v>
      </c>
      <c r="L363">
        <v>5</v>
      </c>
      <c r="M363">
        <v>0</v>
      </c>
      <c r="N363">
        <v>5</v>
      </c>
      <c r="O363">
        <v>0</v>
      </c>
      <c r="P363">
        <v>0</v>
      </c>
      <c r="Q363" t="s">
        <v>96</v>
      </c>
      <c r="R363" t="s">
        <v>66</v>
      </c>
      <c r="S363" t="s">
        <v>66</v>
      </c>
      <c r="T363" t="s">
        <v>66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3</v>
      </c>
      <c r="AJ363">
        <v>1</v>
      </c>
      <c r="AK363">
        <v>5</v>
      </c>
      <c r="AL363">
        <v>0</v>
      </c>
      <c r="AM363">
        <v>9</v>
      </c>
      <c r="AN363">
        <v>0</v>
      </c>
      <c r="AO363" t="s">
        <v>68</v>
      </c>
      <c r="AP363" t="s">
        <v>68</v>
      </c>
      <c r="AQ363">
        <v>0</v>
      </c>
      <c r="AR363" t="s">
        <v>69</v>
      </c>
      <c r="AS363">
        <v>14</v>
      </c>
      <c r="AT363">
        <v>0</v>
      </c>
      <c r="AU363">
        <v>2.164E-2</v>
      </c>
      <c r="AV363">
        <v>-4.1999999999999997E-3</v>
      </c>
      <c r="AW363">
        <v>0.11525000000000001</v>
      </c>
      <c r="AX363">
        <v>-2.3140000000000001E-2</v>
      </c>
      <c r="AY363">
        <v>0</v>
      </c>
      <c r="AZ363">
        <v>0</v>
      </c>
      <c r="BA363">
        <v>0</v>
      </c>
      <c r="BB363">
        <v>1</v>
      </c>
      <c r="BC363" t="s">
        <v>70</v>
      </c>
      <c r="BD363">
        <v>0.73799999999999999</v>
      </c>
      <c r="BE363">
        <v>0.73799999999999999</v>
      </c>
      <c r="BF363" t="s">
        <v>71</v>
      </c>
      <c r="BG363">
        <v>0.18518518518518501</v>
      </c>
      <c r="BI363">
        <v>14</v>
      </c>
      <c r="BJ363">
        <v>0</v>
      </c>
      <c r="BK363">
        <v>0.18518518518518501</v>
      </c>
    </row>
    <row r="364" spans="1:63">
      <c r="A364">
        <v>1986</v>
      </c>
      <c r="B364" t="s">
        <v>2087</v>
      </c>
      <c r="D364" t="s">
        <v>66</v>
      </c>
      <c r="E364">
        <v>2121644</v>
      </c>
      <c r="F364">
        <v>2122306</v>
      </c>
      <c r="G364" t="s">
        <v>2089</v>
      </c>
      <c r="H364">
        <v>221</v>
      </c>
      <c r="I364" t="s">
        <v>63</v>
      </c>
      <c r="J364">
        <v>5</v>
      </c>
      <c r="K364" t="str">
        <f>HYPERLINK("Gene1986-zp_tree_all.dnd", "Gene1986-tree")</f>
        <v>Gene1986-tree</v>
      </c>
      <c r="L364">
        <v>5</v>
      </c>
      <c r="M364">
        <v>0</v>
      </c>
      <c r="N364">
        <v>5</v>
      </c>
      <c r="O364">
        <v>0</v>
      </c>
      <c r="P364">
        <v>0</v>
      </c>
      <c r="Q364" t="s">
        <v>96</v>
      </c>
      <c r="R364" t="s">
        <v>66</v>
      </c>
      <c r="S364" t="s">
        <v>66</v>
      </c>
      <c r="T364" t="s">
        <v>66</v>
      </c>
      <c r="U364">
        <v>0</v>
      </c>
      <c r="V364">
        <v>0</v>
      </c>
      <c r="W364">
        <v>2</v>
      </c>
      <c r="X364">
        <v>0</v>
      </c>
      <c r="Y364">
        <v>0</v>
      </c>
      <c r="Z364">
        <v>0</v>
      </c>
      <c r="AA364">
        <v>0</v>
      </c>
      <c r="AB364">
        <v>2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5</v>
      </c>
      <c r="AJ364">
        <v>2</v>
      </c>
      <c r="AK364">
        <v>22</v>
      </c>
      <c r="AL364">
        <v>0</v>
      </c>
      <c r="AM364">
        <v>20</v>
      </c>
      <c r="AN364">
        <v>2</v>
      </c>
      <c r="AO364" t="s">
        <v>68</v>
      </c>
      <c r="AP364" t="s">
        <v>2090</v>
      </c>
      <c r="AQ364">
        <v>0.85</v>
      </c>
      <c r="AR364" t="s">
        <v>69</v>
      </c>
      <c r="AS364">
        <v>42</v>
      </c>
      <c r="AT364">
        <v>2</v>
      </c>
      <c r="AU364">
        <v>3.2129999999999999E-2</v>
      </c>
      <c r="AV364">
        <v>-5.4900000000000001E-3</v>
      </c>
      <c r="AW364">
        <v>0.16051000000000001</v>
      </c>
      <c r="AX364">
        <v>-2.8240000000000001E-2</v>
      </c>
      <c r="AY364">
        <v>2.7000000000000001E-3</v>
      </c>
      <c r="AZ364">
        <v>-6.8000000000000005E-4</v>
      </c>
      <c r="BA364">
        <v>1.6789999999999999E-2</v>
      </c>
      <c r="BB364">
        <v>1</v>
      </c>
      <c r="BC364" t="s">
        <v>70</v>
      </c>
      <c r="BD364">
        <v>0.61899999999999999</v>
      </c>
      <c r="BE364">
        <v>0.27500000000000002</v>
      </c>
      <c r="BF364" t="s">
        <v>71</v>
      </c>
      <c r="BG364">
        <v>9.0909090909090898E-2</v>
      </c>
      <c r="BI364">
        <v>44</v>
      </c>
      <c r="BJ364">
        <v>1.6789999999999999E-2</v>
      </c>
      <c r="BK364">
        <v>9.0909090909090898E-2</v>
      </c>
    </row>
    <row r="365" spans="1:63">
      <c r="A365">
        <v>1987</v>
      </c>
      <c r="B365" t="s">
        <v>2091</v>
      </c>
      <c r="D365" t="s">
        <v>66</v>
      </c>
      <c r="E365">
        <v>2122328</v>
      </c>
      <c r="F365">
        <v>2122675</v>
      </c>
      <c r="G365" t="s">
        <v>74</v>
      </c>
      <c r="H365">
        <v>116</v>
      </c>
      <c r="I365" t="s">
        <v>106</v>
      </c>
      <c r="J365">
        <v>4</v>
      </c>
      <c r="K365" t="str">
        <f>HYPERLINK("Gene1987-zp_tree_all.dnd", "Gene1987-tree")</f>
        <v>Gene1987-tree</v>
      </c>
      <c r="L365">
        <v>2</v>
      </c>
      <c r="M365">
        <v>2</v>
      </c>
      <c r="N365">
        <v>2</v>
      </c>
      <c r="O365">
        <v>2</v>
      </c>
      <c r="P365">
        <v>0.5</v>
      </c>
      <c r="Q365" t="s">
        <v>124</v>
      </c>
      <c r="R365" t="s">
        <v>124</v>
      </c>
      <c r="S365" t="s">
        <v>66</v>
      </c>
      <c r="T365" t="s">
        <v>66</v>
      </c>
      <c r="U365">
        <v>0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4</v>
      </c>
      <c r="AH365">
        <v>0</v>
      </c>
      <c r="AI365">
        <v>4</v>
      </c>
      <c r="AJ365">
        <v>1</v>
      </c>
      <c r="AK365">
        <v>18</v>
      </c>
      <c r="AL365">
        <v>4</v>
      </c>
      <c r="AM365">
        <v>1</v>
      </c>
      <c r="AN365">
        <v>0</v>
      </c>
      <c r="AO365" t="s">
        <v>2093</v>
      </c>
      <c r="AP365" t="s">
        <v>68</v>
      </c>
      <c r="AQ365">
        <v>0.87</v>
      </c>
      <c r="AR365" t="s">
        <v>69</v>
      </c>
      <c r="AS365">
        <v>19</v>
      </c>
      <c r="AT365">
        <v>4</v>
      </c>
      <c r="AU365">
        <v>3.1609999999999999E-2</v>
      </c>
      <c r="AV365">
        <v>-7.6299999999999996E-3</v>
      </c>
      <c r="AW365">
        <v>0.12193</v>
      </c>
      <c r="AX365">
        <v>-3.3300000000000003E-2</v>
      </c>
      <c r="AY365">
        <v>7.5900000000000004E-3</v>
      </c>
      <c r="AZ365">
        <v>-1.8E-3</v>
      </c>
      <c r="BA365">
        <v>6.2260000000000003E-2</v>
      </c>
      <c r="BB365">
        <v>1</v>
      </c>
      <c r="BC365" t="s">
        <v>70</v>
      </c>
      <c r="BD365">
        <v>8.5000000000000006E-2</v>
      </c>
      <c r="BE365">
        <v>-0.85399999999999998</v>
      </c>
      <c r="BF365" t="s">
        <v>71</v>
      </c>
      <c r="BG365">
        <v>5.3333333333333302E-2</v>
      </c>
      <c r="BI365">
        <v>23</v>
      </c>
      <c r="BJ365">
        <v>6.2260000000000003E-2</v>
      </c>
      <c r="BK365">
        <v>5.3333333333333302E-2</v>
      </c>
    </row>
    <row r="366" spans="1:63">
      <c r="A366">
        <v>1994</v>
      </c>
      <c r="B366" t="s">
        <v>2096</v>
      </c>
      <c r="D366" t="s">
        <v>66</v>
      </c>
      <c r="E366">
        <v>2127348</v>
      </c>
      <c r="F366">
        <v>2127683</v>
      </c>
      <c r="G366" t="s">
        <v>521</v>
      </c>
      <c r="H366">
        <v>112</v>
      </c>
      <c r="I366" t="s">
        <v>85</v>
      </c>
      <c r="J366">
        <v>4</v>
      </c>
      <c r="K366" t="str">
        <f>HYPERLINK("Gene1994-zp_tree_all.dnd", "Gene1994-tree")</f>
        <v>Gene1994-tree</v>
      </c>
      <c r="L366">
        <v>3</v>
      </c>
      <c r="M366">
        <v>1</v>
      </c>
      <c r="N366">
        <v>3</v>
      </c>
      <c r="O366">
        <v>1</v>
      </c>
      <c r="P366">
        <v>0.25</v>
      </c>
      <c r="Q366" t="s">
        <v>86</v>
      </c>
      <c r="R366" t="s">
        <v>65</v>
      </c>
      <c r="S366" t="s">
        <v>66</v>
      </c>
      <c r="T366" t="s">
        <v>66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</v>
      </c>
      <c r="AH366">
        <v>0</v>
      </c>
      <c r="AI366">
        <v>2</v>
      </c>
      <c r="AJ366">
        <v>1</v>
      </c>
      <c r="AK366">
        <v>13</v>
      </c>
      <c r="AL366">
        <v>2</v>
      </c>
      <c r="AM366">
        <v>1</v>
      </c>
      <c r="AN366">
        <v>0</v>
      </c>
      <c r="AO366" t="s">
        <v>2098</v>
      </c>
      <c r="AP366" t="s">
        <v>68</v>
      </c>
      <c r="AQ366">
        <v>0.81100000000000005</v>
      </c>
      <c r="AR366" t="s">
        <v>69</v>
      </c>
      <c r="AS366">
        <v>14</v>
      </c>
      <c r="AT366">
        <v>2</v>
      </c>
      <c r="AU366">
        <v>2.3519999999999999E-2</v>
      </c>
      <c r="AV366">
        <v>-7.9900000000000006E-3</v>
      </c>
      <c r="AW366">
        <v>0.10965999999999999</v>
      </c>
      <c r="AX366">
        <v>-3.705E-2</v>
      </c>
      <c r="AY366">
        <v>3.8300000000000001E-3</v>
      </c>
      <c r="AZ366">
        <v>-1.56E-3</v>
      </c>
      <c r="BA366">
        <v>3.4880000000000001E-2</v>
      </c>
      <c r="BB366">
        <v>1</v>
      </c>
      <c r="BC366" t="s">
        <v>70</v>
      </c>
      <c r="BD366">
        <v>-0.433</v>
      </c>
      <c r="BE366">
        <v>-1.054</v>
      </c>
      <c r="BF366" t="s">
        <v>71</v>
      </c>
      <c r="BG366">
        <v>0.15384615384615299</v>
      </c>
      <c r="BI366">
        <v>16</v>
      </c>
      <c r="BJ366">
        <v>3.4880000000000001E-2</v>
      </c>
      <c r="BK366">
        <v>0.15384615384615299</v>
      </c>
    </row>
    <row r="367" spans="1:63">
      <c r="A367">
        <v>2003</v>
      </c>
      <c r="B367" t="s">
        <v>2108</v>
      </c>
      <c r="D367" t="s">
        <v>66</v>
      </c>
      <c r="E367">
        <v>2134569</v>
      </c>
      <c r="F367">
        <v>2135387</v>
      </c>
      <c r="G367" t="s">
        <v>2110</v>
      </c>
      <c r="H367">
        <v>273</v>
      </c>
      <c r="I367" t="s">
        <v>63</v>
      </c>
      <c r="J367">
        <v>5</v>
      </c>
      <c r="K367" t="str">
        <f>HYPERLINK("Gene2003-zp_tree_all.dnd", "Gene2003-tree")</f>
        <v>Gene2003-tree</v>
      </c>
      <c r="L367">
        <v>0</v>
      </c>
      <c r="M367">
        <v>5</v>
      </c>
      <c r="N367">
        <v>0</v>
      </c>
      <c r="O367">
        <v>5</v>
      </c>
      <c r="P367">
        <v>1</v>
      </c>
      <c r="Q367" t="s">
        <v>66</v>
      </c>
      <c r="R367" t="s">
        <v>96</v>
      </c>
      <c r="S367" t="s">
        <v>66</v>
      </c>
      <c r="T367" t="s">
        <v>66</v>
      </c>
      <c r="U367">
        <v>0</v>
      </c>
      <c r="V367">
        <v>0</v>
      </c>
      <c r="W367">
        <v>13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13</v>
      </c>
      <c r="AH367">
        <v>0</v>
      </c>
      <c r="AI367">
        <v>4</v>
      </c>
      <c r="AJ367">
        <v>2</v>
      </c>
      <c r="AK367">
        <v>24</v>
      </c>
      <c r="AL367">
        <v>6</v>
      </c>
      <c r="AM367">
        <v>22</v>
      </c>
      <c r="AN367">
        <v>7</v>
      </c>
      <c r="AO367" t="s">
        <v>2111</v>
      </c>
      <c r="AP367" t="s">
        <v>2112</v>
      </c>
      <c r="AQ367">
        <v>0.40300000000000002</v>
      </c>
      <c r="AR367" t="s">
        <v>69</v>
      </c>
      <c r="AS367">
        <v>46</v>
      </c>
      <c r="AT367">
        <v>13</v>
      </c>
      <c r="AU367">
        <v>3.5540000000000002E-2</v>
      </c>
      <c r="AV367">
        <v>-5.4599999999999996E-3</v>
      </c>
      <c r="AW367">
        <v>0.14312</v>
      </c>
      <c r="AX367">
        <v>-2.392E-2</v>
      </c>
      <c r="AY367">
        <v>1.04E-2</v>
      </c>
      <c r="AZ367">
        <v>-1.47E-3</v>
      </c>
      <c r="BA367">
        <v>7.2690000000000005E-2</v>
      </c>
      <c r="BB367">
        <v>1</v>
      </c>
      <c r="BC367" t="s">
        <v>70</v>
      </c>
      <c r="BD367">
        <v>0.45300000000000001</v>
      </c>
      <c r="BE367">
        <v>0.23200000000000001</v>
      </c>
      <c r="BF367" t="s">
        <v>71</v>
      </c>
      <c r="BG367">
        <v>0.113043478260869</v>
      </c>
      <c r="BI367">
        <v>59</v>
      </c>
      <c r="BJ367">
        <v>7.2690000000000005E-2</v>
      </c>
      <c r="BK367">
        <v>0.113043478260869</v>
      </c>
    </row>
    <row r="368" spans="1:63">
      <c r="A368">
        <v>2004</v>
      </c>
      <c r="B368" t="s">
        <v>2113</v>
      </c>
      <c r="D368" t="s">
        <v>66</v>
      </c>
      <c r="E368">
        <v>2135473</v>
      </c>
      <c r="F368">
        <v>2136171</v>
      </c>
      <c r="G368" t="s">
        <v>2115</v>
      </c>
      <c r="H368">
        <v>233</v>
      </c>
      <c r="I368" t="s">
        <v>63</v>
      </c>
      <c r="J368">
        <v>5</v>
      </c>
      <c r="K368" t="str">
        <f>HYPERLINK("Gene2004-zp_tree_all.dnd", "Gene2004-tree")</f>
        <v>Gene2004-tree</v>
      </c>
      <c r="L368">
        <v>2</v>
      </c>
      <c r="M368">
        <v>3</v>
      </c>
      <c r="N368">
        <v>2</v>
      </c>
      <c r="O368">
        <v>3</v>
      </c>
      <c r="P368">
        <v>0.6</v>
      </c>
      <c r="Q368" t="s">
        <v>124</v>
      </c>
      <c r="R368" t="s">
        <v>86</v>
      </c>
      <c r="S368" t="s">
        <v>66</v>
      </c>
      <c r="T368" t="s">
        <v>66</v>
      </c>
      <c r="U368">
        <v>0</v>
      </c>
      <c r="V368">
        <v>0</v>
      </c>
      <c r="W368">
        <v>3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3</v>
      </c>
      <c r="AH368">
        <v>0</v>
      </c>
      <c r="AI368">
        <v>5</v>
      </c>
      <c r="AJ368">
        <v>2</v>
      </c>
      <c r="AK368">
        <v>31</v>
      </c>
      <c r="AL368">
        <v>3</v>
      </c>
      <c r="AM368">
        <v>15</v>
      </c>
      <c r="AN368">
        <v>0</v>
      </c>
      <c r="AO368" t="s">
        <v>2116</v>
      </c>
      <c r="AP368" t="s">
        <v>68</v>
      </c>
      <c r="AQ368">
        <v>1.835</v>
      </c>
      <c r="AR368" t="s">
        <v>69</v>
      </c>
      <c r="AS368">
        <v>46</v>
      </c>
      <c r="AT368">
        <v>3</v>
      </c>
      <c r="AU368">
        <v>3.1189999999999999E-2</v>
      </c>
      <c r="AV368">
        <v>-4.9800000000000001E-3</v>
      </c>
      <c r="AW368">
        <v>0.14147000000000001</v>
      </c>
      <c r="AX368">
        <v>-2.384E-2</v>
      </c>
      <c r="AY368">
        <v>2.2499999999999998E-3</v>
      </c>
      <c r="AZ368">
        <v>-3.6000000000000002E-4</v>
      </c>
      <c r="BA368">
        <v>1.5879999999999998E-2</v>
      </c>
      <c r="BB368">
        <v>1</v>
      </c>
      <c r="BC368" t="s">
        <v>70</v>
      </c>
      <c r="BD368">
        <v>-9.6000000000000002E-2</v>
      </c>
      <c r="BE368">
        <v>-0.23200000000000001</v>
      </c>
      <c r="BF368" t="s">
        <v>71</v>
      </c>
      <c r="BG368">
        <v>0.15172413793103401</v>
      </c>
      <c r="BI368">
        <v>49</v>
      </c>
      <c r="BJ368">
        <v>1.5879999999999998E-2</v>
      </c>
      <c r="BK368">
        <v>0.15172413793103401</v>
      </c>
    </row>
    <row r="369" spans="1:63">
      <c r="A369">
        <v>2006</v>
      </c>
      <c r="B369" t="s">
        <v>2117</v>
      </c>
      <c r="D369" t="s">
        <v>66</v>
      </c>
      <c r="E369">
        <v>2136541</v>
      </c>
      <c r="F369">
        <v>2136852</v>
      </c>
      <c r="G369" t="s">
        <v>74</v>
      </c>
      <c r="H369">
        <v>104</v>
      </c>
      <c r="I369" t="s">
        <v>106</v>
      </c>
      <c r="J369">
        <v>4</v>
      </c>
      <c r="K369" t="str">
        <f>HYPERLINK("Gene2006-zp_tree_all.dnd", "Gene2006-tree")</f>
        <v>Gene2006-tree</v>
      </c>
      <c r="L369">
        <v>3</v>
      </c>
      <c r="M369">
        <v>1</v>
      </c>
      <c r="N369">
        <v>3</v>
      </c>
      <c r="O369">
        <v>1</v>
      </c>
      <c r="P369">
        <v>0.25</v>
      </c>
      <c r="Q369" t="s">
        <v>86</v>
      </c>
      <c r="R369" t="s">
        <v>65</v>
      </c>
      <c r="S369" t="s">
        <v>66</v>
      </c>
      <c r="T369" t="s">
        <v>66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3</v>
      </c>
      <c r="AJ369">
        <v>1</v>
      </c>
      <c r="AK369">
        <v>13</v>
      </c>
      <c r="AL369">
        <v>1</v>
      </c>
      <c r="AM369">
        <v>1</v>
      </c>
      <c r="AN369">
        <v>0</v>
      </c>
      <c r="AO369" t="s">
        <v>2119</v>
      </c>
      <c r="AP369" t="s">
        <v>68</v>
      </c>
      <c r="AQ369">
        <v>0.59299999999999997</v>
      </c>
      <c r="AR369" t="s">
        <v>69</v>
      </c>
      <c r="AS369">
        <v>14</v>
      </c>
      <c r="AT369">
        <v>1</v>
      </c>
      <c r="AU369">
        <v>2.4570000000000002E-2</v>
      </c>
      <c r="AV369">
        <v>-6.6600000000000001E-3</v>
      </c>
      <c r="AW369">
        <v>0.11</v>
      </c>
      <c r="AX369">
        <v>-3.007E-2</v>
      </c>
      <c r="AY369">
        <v>2.0899999999999998E-3</v>
      </c>
      <c r="AZ369">
        <v>-8.4999999999999995E-4</v>
      </c>
      <c r="BA369">
        <v>1.9009999999999999E-2</v>
      </c>
      <c r="BB369">
        <v>1</v>
      </c>
      <c r="BC369" t="s">
        <v>70</v>
      </c>
      <c r="BD369">
        <v>-0.64</v>
      </c>
      <c r="BE369">
        <v>-0.64</v>
      </c>
      <c r="BF369" t="s">
        <v>71</v>
      </c>
      <c r="BG369">
        <v>0.10294117647058799</v>
      </c>
      <c r="BI369">
        <v>15</v>
      </c>
      <c r="BJ369">
        <v>1.9009999999999999E-2</v>
      </c>
      <c r="BK369">
        <v>0.10294117647058799</v>
      </c>
    </row>
    <row r="370" spans="1:63">
      <c r="A370">
        <v>2010</v>
      </c>
      <c r="B370" t="s">
        <v>2125</v>
      </c>
      <c r="D370" t="s">
        <v>66</v>
      </c>
      <c r="E370">
        <v>2138040</v>
      </c>
      <c r="F370">
        <v>2138717</v>
      </c>
      <c r="G370" t="s">
        <v>74</v>
      </c>
      <c r="H370">
        <v>226</v>
      </c>
      <c r="I370" t="s">
        <v>63</v>
      </c>
      <c r="J370">
        <v>5</v>
      </c>
      <c r="K370" t="str">
        <f>HYPERLINK("Gene2010-zp_tree_all.dnd", "Gene2010-tree")</f>
        <v>Gene2010-tree</v>
      </c>
      <c r="L370">
        <v>3</v>
      </c>
      <c r="M370">
        <v>2</v>
      </c>
      <c r="N370">
        <v>3</v>
      </c>
      <c r="O370">
        <v>2</v>
      </c>
      <c r="P370">
        <v>0.4</v>
      </c>
      <c r="Q370" t="s">
        <v>86</v>
      </c>
      <c r="R370" t="s">
        <v>124</v>
      </c>
      <c r="S370" t="s">
        <v>66</v>
      </c>
      <c r="T370" t="s">
        <v>66</v>
      </c>
      <c r="U370">
        <v>0</v>
      </c>
      <c r="V370">
        <v>0</v>
      </c>
      <c r="W370">
        <v>5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4</v>
      </c>
      <c r="AH370">
        <v>0</v>
      </c>
      <c r="AI370">
        <v>5</v>
      </c>
      <c r="AJ370">
        <v>2</v>
      </c>
      <c r="AK370">
        <v>8</v>
      </c>
      <c r="AL370">
        <v>4</v>
      </c>
      <c r="AM370">
        <v>22</v>
      </c>
      <c r="AN370">
        <v>1</v>
      </c>
      <c r="AO370" t="s">
        <v>2127</v>
      </c>
      <c r="AP370" t="s">
        <v>2128</v>
      </c>
      <c r="AQ370">
        <v>0.85699999999999998</v>
      </c>
      <c r="AR370" t="s">
        <v>69</v>
      </c>
      <c r="AS370">
        <v>30</v>
      </c>
      <c r="AT370">
        <v>5</v>
      </c>
      <c r="AU370">
        <v>2.581E-2</v>
      </c>
      <c r="AV370">
        <v>-4.5300000000000002E-3</v>
      </c>
      <c r="AW370">
        <v>0.11959</v>
      </c>
      <c r="AX370">
        <v>-2.2429999999999999E-2</v>
      </c>
      <c r="AY370">
        <v>4.1200000000000004E-3</v>
      </c>
      <c r="AZ370">
        <v>-9.5E-4</v>
      </c>
      <c r="BA370">
        <v>3.4470000000000001E-2</v>
      </c>
      <c r="BB370">
        <v>1</v>
      </c>
      <c r="BC370" t="s">
        <v>70</v>
      </c>
      <c r="BD370">
        <v>1.0429999999999999</v>
      </c>
      <c r="BE370">
        <v>0.60399999999999998</v>
      </c>
      <c r="BF370" t="s">
        <v>71</v>
      </c>
      <c r="BG370">
        <v>0.223529411764705</v>
      </c>
      <c r="BI370">
        <v>35</v>
      </c>
      <c r="BJ370">
        <v>3.4470000000000001E-2</v>
      </c>
      <c r="BK370">
        <v>0.223529411764705</v>
      </c>
    </row>
    <row r="371" spans="1:63">
      <c r="A371">
        <v>2215</v>
      </c>
      <c r="B371" t="s">
        <v>2129</v>
      </c>
      <c r="D371" t="s">
        <v>66</v>
      </c>
      <c r="E371">
        <v>2287532</v>
      </c>
      <c r="F371">
        <v>2288062</v>
      </c>
      <c r="G371" t="s">
        <v>2131</v>
      </c>
      <c r="H371">
        <v>177</v>
      </c>
      <c r="I371" t="s">
        <v>106</v>
      </c>
      <c r="J371">
        <v>4</v>
      </c>
      <c r="K371" t="str">
        <f>HYPERLINK("Gene2215-zp_tree_all.dnd", "Gene2215-tree")</f>
        <v>Gene2215-tree</v>
      </c>
      <c r="L371">
        <v>2</v>
      </c>
      <c r="M371">
        <v>2</v>
      </c>
      <c r="N371">
        <v>2</v>
      </c>
      <c r="O371">
        <v>2</v>
      </c>
      <c r="P371">
        <v>0.5</v>
      </c>
      <c r="Q371" t="s">
        <v>124</v>
      </c>
      <c r="R371" t="s">
        <v>124</v>
      </c>
      <c r="S371" t="s">
        <v>66</v>
      </c>
      <c r="T371" t="s">
        <v>66</v>
      </c>
      <c r="U371">
        <v>0</v>
      </c>
      <c r="V371">
        <v>0</v>
      </c>
      <c r="W371">
        <v>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2</v>
      </c>
      <c r="AH371">
        <v>0</v>
      </c>
      <c r="AI371">
        <v>4</v>
      </c>
      <c r="AJ371">
        <v>1</v>
      </c>
      <c r="AK371">
        <v>25</v>
      </c>
      <c r="AL371">
        <v>2</v>
      </c>
      <c r="AM371">
        <v>1</v>
      </c>
      <c r="AN371">
        <v>0</v>
      </c>
      <c r="AO371" t="s">
        <v>2132</v>
      </c>
      <c r="AP371" t="s">
        <v>68</v>
      </c>
      <c r="AQ371">
        <v>0.877</v>
      </c>
      <c r="AR371" t="s">
        <v>69</v>
      </c>
      <c r="AS371">
        <v>26</v>
      </c>
      <c r="AT371">
        <v>2</v>
      </c>
      <c r="AU371">
        <v>2.5739999999999999E-2</v>
      </c>
      <c r="AV371">
        <v>-6.43E-3</v>
      </c>
      <c r="AW371">
        <v>0.12121999999999999</v>
      </c>
      <c r="AX371">
        <v>-3.2809999999999999E-2</v>
      </c>
      <c r="AY371">
        <v>2.4199999999999998E-3</v>
      </c>
      <c r="AZ371">
        <v>-5.6999999999999998E-4</v>
      </c>
      <c r="BA371">
        <v>1.9970000000000002E-2</v>
      </c>
      <c r="BB371">
        <v>1</v>
      </c>
      <c r="BC371" t="s">
        <v>70</v>
      </c>
      <c r="BD371">
        <v>-0.375</v>
      </c>
      <c r="BE371">
        <v>-0.73799999999999999</v>
      </c>
      <c r="BF371" t="s">
        <v>71</v>
      </c>
      <c r="BG371">
        <v>9.9173553719008198E-2</v>
      </c>
      <c r="BI371">
        <v>28</v>
      </c>
      <c r="BJ371">
        <v>1.9970000000000002E-2</v>
      </c>
      <c r="BK371">
        <v>9.9173553719008198E-2</v>
      </c>
    </row>
    <row r="372" spans="1:63">
      <c r="A372">
        <v>2222</v>
      </c>
      <c r="B372" t="s">
        <v>2139</v>
      </c>
      <c r="D372" t="s">
        <v>66</v>
      </c>
      <c r="E372">
        <v>2292435</v>
      </c>
      <c r="F372">
        <v>2292683</v>
      </c>
      <c r="G372" t="s">
        <v>74</v>
      </c>
      <c r="H372">
        <v>83</v>
      </c>
      <c r="I372" t="s">
        <v>63</v>
      </c>
      <c r="J372">
        <v>5</v>
      </c>
      <c r="K372" t="str">
        <f>HYPERLINK("Gene2222-zp_tree_all.dnd", "Gene2222-tree")</f>
        <v>Gene2222-tree</v>
      </c>
      <c r="L372">
        <v>2</v>
      </c>
      <c r="M372">
        <v>3</v>
      </c>
      <c r="N372">
        <v>2</v>
      </c>
      <c r="O372">
        <v>2</v>
      </c>
      <c r="P372">
        <v>0.5</v>
      </c>
      <c r="Q372" t="s">
        <v>124</v>
      </c>
      <c r="R372" t="s">
        <v>185</v>
      </c>
      <c r="S372">
        <v>0.30599999999999999</v>
      </c>
      <c r="T372" t="s">
        <v>69</v>
      </c>
      <c r="U372">
        <v>1</v>
      </c>
      <c r="V372">
        <v>2</v>
      </c>
      <c r="W372">
        <v>0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2</v>
      </c>
      <c r="AF372">
        <v>2</v>
      </c>
      <c r="AG372">
        <v>0</v>
      </c>
      <c r="AH372">
        <v>1</v>
      </c>
      <c r="AI372">
        <v>3</v>
      </c>
      <c r="AJ372">
        <v>1</v>
      </c>
      <c r="AK372">
        <v>2</v>
      </c>
      <c r="AL372">
        <v>2</v>
      </c>
      <c r="AM372">
        <v>1</v>
      </c>
      <c r="AN372">
        <v>0</v>
      </c>
      <c r="AO372" t="s">
        <v>2141</v>
      </c>
      <c r="AP372" t="s">
        <v>68</v>
      </c>
      <c r="AQ372">
        <v>1.732</v>
      </c>
      <c r="AR372" t="s">
        <v>69</v>
      </c>
      <c r="AS372">
        <v>3</v>
      </c>
      <c r="AT372">
        <v>2</v>
      </c>
      <c r="AU372">
        <v>1.0710000000000001E-2</v>
      </c>
      <c r="AV372">
        <v>-1.5499999999999999E-3</v>
      </c>
      <c r="AW372">
        <v>3.4979999999999997E-2</v>
      </c>
      <c r="AX372">
        <v>-6.5500000000000003E-3</v>
      </c>
      <c r="AY372">
        <v>5.0200000000000002E-3</v>
      </c>
      <c r="AZ372">
        <v>-8.4000000000000003E-4</v>
      </c>
      <c r="BA372">
        <v>0.14358000000000001</v>
      </c>
      <c r="BB372">
        <v>0.98399999999999999</v>
      </c>
      <c r="BC372" t="s">
        <v>70</v>
      </c>
      <c r="BD372">
        <v>0.56200000000000006</v>
      </c>
      <c r="BE372">
        <v>0.56200000000000006</v>
      </c>
      <c r="BF372" t="s">
        <v>71</v>
      </c>
      <c r="BG372">
        <v>0.15151515151515099</v>
      </c>
      <c r="BI372">
        <v>5</v>
      </c>
      <c r="BJ372">
        <v>0.14358000000000001</v>
      </c>
      <c r="BK372">
        <v>0.15151515151515099</v>
      </c>
    </row>
    <row r="373" spans="1:63">
      <c r="A373">
        <v>2223</v>
      </c>
      <c r="B373" t="s">
        <v>2142</v>
      </c>
      <c r="D373" t="s">
        <v>66</v>
      </c>
      <c r="E373">
        <v>2292772</v>
      </c>
      <c r="F373">
        <v>2294037</v>
      </c>
      <c r="G373" t="s">
        <v>2144</v>
      </c>
      <c r="H373">
        <v>422</v>
      </c>
      <c r="I373" t="s">
        <v>63</v>
      </c>
      <c r="J373">
        <v>5</v>
      </c>
      <c r="K373" t="str">
        <f>HYPERLINK("Gene2223-zp_tree_all.dnd", "Gene2223-tree")</f>
        <v>Gene2223-tree</v>
      </c>
      <c r="L373">
        <v>0</v>
      </c>
      <c r="M373">
        <v>5</v>
      </c>
      <c r="N373">
        <v>0</v>
      </c>
      <c r="O373">
        <v>5</v>
      </c>
      <c r="P373">
        <v>1</v>
      </c>
      <c r="Q373" t="s">
        <v>66</v>
      </c>
      <c r="R373" t="s">
        <v>96</v>
      </c>
      <c r="S373" t="s">
        <v>66</v>
      </c>
      <c r="T373" t="s">
        <v>66</v>
      </c>
      <c r="U373">
        <v>0</v>
      </c>
      <c r="V373">
        <v>0</v>
      </c>
      <c r="W373">
        <v>12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12</v>
      </c>
      <c r="AH373">
        <v>0</v>
      </c>
      <c r="AI373">
        <v>5</v>
      </c>
      <c r="AJ373">
        <v>2</v>
      </c>
      <c r="AK373">
        <v>37</v>
      </c>
      <c r="AL373">
        <v>7</v>
      </c>
      <c r="AM373">
        <v>38</v>
      </c>
      <c r="AN373">
        <v>6</v>
      </c>
      <c r="AO373" t="s">
        <v>2145</v>
      </c>
      <c r="AP373" t="s">
        <v>2146</v>
      </c>
      <c r="AQ373">
        <v>0.67300000000000004</v>
      </c>
      <c r="AR373" t="s">
        <v>69</v>
      </c>
      <c r="AS373">
        <v>75</v>
      </c>
      <c r="AT373">
        <v>13</v>
      </c>
      <c r="AU373">
        <v>3.2620000000000003E-2</v>
      </c>
      <c r="AV373">
        <v>-4.5799999999999999E-3</v>
      </c>
      <c r="AW373">
        <v>0.13699</v>
      </c>
      <c r="AX373">
        <v>-2.1510000000000001E-2</v>
      </c>
      <c r="AY373">
        <v>6.5500000000000003E-3</v>
      </c>
      <c r="AZ373">
        <v>-7.2999999999999996E-4</v>
      </c>
      <c r="BA373">
        <v>4.7840000000000001E-2</v>
      </c>
      <c r="BB373">
        <v>1</v>
      </c>
      <c r="BC373" t="s">
        <v>70</v>
      </c>
      <c r="BD373">
        <v>0.78200000000000003</v>
      </c>
      <c r="BE373">
        <v>0.316</v>
      </c>
      <c r="BF373" t="s">
        <v>71</v>
      </c>
      <c r="BG373">
        <v>0.14490161001788901</v>
      </c>
      <c r="BI373">
        <v>88</v>
      </c>
      <c r="BJ373">
        <v>4.7840000000000001E-2</v>
      </c>
      <c r="BK373">
        <v>0.14490161001788901</v>
      </c>
    </row>
    <row r="374" spans="1:63">
      <c r="A374">
        <v>2242</v>
      </c>
      <c r="B374" t="s">
        <v>2157</v>
      </c>
      <c r="D374" t="s">
        <v>66</v>
      </c>
      <c r="E374">
        <v>2308795</v>
      </c>
      <c r="F374">
        <v>2308974</v>
      </c>
      <c r="G374" t="s">
        <v>74</v>
      </c>
      <c r="H374">
        <v>60</v>
      </c>
      <c r="I374" t="s">
        <v>63</v>
      </c>
      <c r="J374">
        <v>5</v>
      </c>
      <c r="K374" t="str">
        <f>HYPERLINK("Gene2242-zp_tree_all.dnd", "Gene2242-tree")</f>
        <v>Gene2242-tree</v>
      </c>
      <c r="L374">
        <v>3</v>
      </c>
      <c r="M374">
        <v>2</v>
      </c>
      <c r="N374">
        <v>3</v>
      </c>
      <c r="O374">
        <v>2</v>
      </c>
      <c r="P374">
        <v>0.4</v>
      </c>
      <c r="Q374" t="s">
        <v>86</v>
      </c>
      <c r="R374" t="s">
        <v>124</v>
      </c>
      <c r="S374" t="s">
        <v>66</v>
      </c>
      <c r="T374" t="s">
        <v>66</v>
      </c>
      <c r="U374">
        <v>0</v>
      </c>
      <c r="V374">
        <v>0</v>
      </c>
      <c r="W374">
        <v>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2</v>
      </c>
      <c r="AH374">
        <v>0</v>
      </c>
      <c r="AI374">
        <v>3</v>
      </c>
      <c r="AJ374">
        <v>1</v>
      </c>
      <c r="AK374">
        <v>4</v>
      </c>
      <c r="AL374">
        <v>1</v>
      </c>
      <c r="AM374">
        <v>2</v>
      </c>
      <c r="AN374">
        <v>2</v>
      </c>
      <c r="AO374" t="s">
        <v>2159</v>
      </c>
      <c r="AP374" t="s">
        <v>2160</v>
      </c>
      <c r="AQ374">
        <v>2.419</v>
      </c>
      <c r="AR374" t="s">
        <v>69</v>
      </c>
      <c r="AS374">
        <v>6</v>
      </c>
      <c r="AT374">
        <v>3</v>
      </c>
      <c r="AU374">
        <v>2.486E-2</v>
      </c>
      <c r="AV374">
        <v>-4.0099999999999997E-3</v>
      </c>
      <c r="AW374">
        <v>8.7819999999999995E-2</v>
      </c>
      <c r="AX374">
        <v>-1.302E-2</v>
      </c>
      <c r="AY374">
        <v>1.1339999999999999E-2</v>
      </c>
      <c r="AZ374">
        <v>-2.6900000000000001E-3</v>
      </c>
      <c r="BA374">
        <v>0.12909999999999999</v>
      </c>
      <c r="BB374">
        <v>0.97799999999999998</v>
      </c>
      <c r="BC374" t="s">
        <v>70</v>
      </c>
      <c r="BD374">
        <v>0.13200000000000001</v>
      </c>
      <c r="BE374">
        <v>0.13200000000000001</v>
      </c>
      <c r="BF374" t="s">
        <v>71</v>
      </c>
      <c r="BG374">
        <v>0.18032786885245899</v>
      </c>
      <c r="BI374">
        <v>9</v>
      </c>
      <c r="BJ374">
        <v>0.12909999999999999</v>
      </c>
      <c r="BK374">
        <v>0.18032786885245899</v>
      </c>
    </row>
    <row r="375" spans="1:63">
      <c r="A375">
        <v>2248</v>
      </c>
      <c r="B375" t="s">
        <v>2168</v>
      </c>
      <c r="D375" t="s">
        <v>66</v>
      </c>
      <c r="E375">
        <v>2311989</v>
      </c>
      <c r="F375">
        <v>2312132</v>
      </c>
      <c r="G375" t="s">
        <v>74</v>
      </c>
      <c r="H375">
        <v>48</v>
      </c>
      <c r="I375" t="s">
        <v>63</v>
      </c>
      <c r="J375">
        <v>5</v>
      </c>
      <c r="K375" t="str">
        <f>HYPERLINK("Gene2248-zp_tree_all.dnd", "Gene2248-tree")</f>
        <v>Gene2248-tree</v>
      </c>
      <c r="L375">
        <v>5</v>
      </c>
      <c r="M375">
        <v>0</v>
      </c>
      <c r="N375">
        <v>4</v>
      </c>
      <c r="O375">
        <v>0</v>
      </c>
      <c r="P375">
        <v>0</v>
      </c>
      <c r="Q375" t="s">
        <v>135</v>
      </c>
      <c r="R375" t="s">
        <v>66</v>
      </c>
      <c r="S375" t="s">
        <v>66</v>
      </c>
      <c r="T375" t="s">
        <v>66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2</v>
      </c>
      <c r="AJ375">
        <v>1</v>
      </c>
      <c r="AK375">
        <v>3</v>
      </c>
      <c r="AL375">
        <v>0</v>
      </c>
      <c r="AM375">
        <v>2</v>
      </c>
      <c r="AN375">
        <v>0</v>
      </c>
      <c r="AO375" t="s">
        <v>68</v>
      </c>
      <c r="AP375" t="s">
        <v>68</v>
      </c>
      <c r="AQ375">
        <v>0</v>
      </c>
      <c r="AR375" t="s">
        <v>69</v>
      </c>
      <c r="AS375">
        <v>5</v>
      </c>
      <c r="AT375">
        <v>0</v>
      </c>
      <c r="AU375">
        <v>2.009E-2</v>
      </c>
      <c r="AV375">
        <v>-3.8899999999999998E-3</v>
      </c>
      <c r="AW375">
        <v>0.10728</v>
      </c>
      <c r="AX375">
        <v>-2.222E-2</v>
      </c>
      <c r="AY375">
        <v>0</v>
      </c>
      <c r="AZ375">
        <v>0</v>
      </c>
      <c r="BA375">
        <v>0</v>
      </c>
      <c r="BB375">
        <v>1</v>
      </c>
      <c r="BC375" t="s">
        <v>70</v>
      </c>
      <c r="BD375">
        <v>0</v>
      </c>
      <c r="BE375">
        <v>0</v>
      </c>
      <c r="BF375" t="s">
        <v>71</v>
      </c>
      <c r="BG375">
        <v>-1.53846153846153E-2</v>
      </c>
      <c r="BI375">
        <v>5</v>
      </c>
      <c r="BJ375">
        <v>0</v>
      </c>
      <c r="BK375">
        <v>-1.53846153846153E-2</v>
      </c>
    </row>
    <row r="376" spans="1:63">
      <c r="A376">
        <v>2284</v>
      </c>
      <c r="B376" t="s">
        <v>2188</v>
      </c>
      <c r="D376" t="s">
        <v>66</v>
      </c>
      <c r="E376">
        <v>2346227</v>
      </c>
      <c r="F376">
        <v>2347516</v>
      </c>
      <c r="G376" t="s">
        <v>2190</v>
      </c>
      <c r="H376">
        <v>430</v>
      </c>
      <c r="I376" t="s">
        <v>63</v>
      </c>
      <c r="J376">
        <v>5</v>
      </c>
      <c r="K376" t="str">
        <f>HYPERLINK("Gene2284-zp_tree_all.dnd", "Gene2284-tree")</f>
        <v>Gene2284-tree</v>
      </c>
      <c r="L376">
        <v>4</v>
      </c>
      <c r="M376">
        <v>1</v>
      </c>
      <c r="N376">
        <v>4</v>
      </c>
      <c r="O376">
        <v>1</v>
      </c>
      <c r="P376">
        <v>0.2</v>
      </c>
      <c r="Q376" t="s">
        <v>64</v>
      </c>
      <c r="R376" t="s">
        <v>65</v>
      </c>
      <c r="S376" t="s">
        <v>66</v>
      </c>
      <c r="T376" t="s">
        <v>66</v>
      </c>
      <c r="U376">
        <v>0</v>
      </c>
      <c r="V376">
        <v>0</v>
      </c>
      <c r="W376">
        <v>8</v>
      </c>
      <c r="X376">
        <v>0</v>
      </c>
      <c r="Y376">
        <v>0</v>
      </c>
      <c r="Z376">
        <v>0</v>
      </c>
      <c r="AA376">
        <v>0</v>
      </c>
      <c r="AB376">
        <v>5</v>
      </c>
      <c r="AC376">
        <v>0</v>
      </c>
      <c r="AD376">
        <v>0</v>
      </c>
      <c r="AE376">
        <v>0</v>
      </c>
      <c r="AF376">
        <v>0</v>
      </c>
      <c r="AG376">
        <v>3</v>
      </c>
      <c r="AH376">
        <v>0</v>
      </c>
      <c r="AI376">
        <v>5</v>
      </c>
      <c r="AJ376">
        <v>2</v>
      </c>
      <c r="AK376">
        <v>29</v>
      </c>
      <c r="AL376">
        <v>3</v>
      </c>
      <c r="AM376">
        <v>43</v>
      </c>
      <c r="AN376">
        <v>5</v>
      </c>
      <c r="AO376" t="s">
        <v>2191</v>
      </c>
      <c r="AP376" t="s">
        <v>2192</v>
      </c>
      <c r="AQ376">
        <v>1.4999999999999999E-2</v>
      </c>
      <c r="AR376" t="s">
        <v>69</v>
      </c>
      <c r="AS376">
        <v>72</v>
      </c>
      <c r="AT376">
        <v>8</v>
      </c>
      <c r="AU376">
        <v>3.1780000000000003E-2</v>
      </c>
      <c r="AV376">
        <v>-6.2700000000000004E-3</v>
      </c>
      <c r="AW376">
        <v>0.14285</v>
      </c>
      <c r="AX376">
        <v>-2.8850000000000001E-2</v>
      </c>
      <c r="AY376">
        <v>4.2399999999999998E-3</v>
      </c>
      <c r="AZ376">
        <v>-1.01E-3</v>
      </c>
      <c r="BA376">
        <v>2.9700000000000001E-2</v>
      </c>
      <c r="BB376">
        <v>1</v>
      </c>
      <c r="BC376" t="s">
        <v>70</v>
      </c>
      <c r="BD376">
        <v>0.80800000000000005</v>
      </c>
      <c r="BE376">
        <v>0.624</v>
      </c>
      <c r="BF376" t="s">
        <v>71</v>
      </c>
      <c r="BG376">
        <v>8.9316987740805598E-2</v>
      </c>
      <c r="BI376">
        <v>80</v>
      </c>
      <c r="BJ376">
        <v>2.9700000000000001E-2</v>
      </c>
      <c r="BK376">
        <v>8.9316987740805598E-2</v>
      </c>
    </row>
    <row r="377" spans="1:63">
      <c r="A377">
        <v>2286</v>
      </c>
      <c r="B377" t="s">
        <v>2193</v>
      </c>
      <c r="D377" t="s">
        <v>66</v>
      </c>
      <c r="E377">
        <v>2348867</v>
      </c>
      <c r="F377">
        <v>2349349</v>
      </c>
      <c r="G377" t="s">
        <v>74</v>
      </c>
      <c r="H377">
        <v>161</v>
      </c>
      <c r="I377" t="s">
        <v>63</v>
      </c>
      <c r="J377">
        <v>5</v>
      </c>
      <c r="K377" t="str">
        <f>HYPERLINK("Gene2286-zp_tree_all.dnd", "Gene2286-tree")</f>
        <v>Gene2286-tree</v>
      </c>
      <c r="L377">
        <v>1</v>
      </c>
      <c r="M377">
        <v>4</v>
      </c>
      <c r="N377">
        <v>1</v>
      </c>
      <c r="O377">
        <v>3</v>
      </c>
      <c r="P377">
        <v>0.75</v>
      </c>
      <c r="Q377" t="s">
        <v>65</v>
      </c>
      <c r="R377" t="s">
        <v>112</v>
      </c>
      <c r="S377">
        <v>5</v>
      </c>
      <c r="T377" t="s">
        <v>239</v>
      </c>
      <c r="U377">
        <v>0</v>
      </c>
      <c r="V377">
        <v>0</v>
      </c>
      <c r="W377">
        <v>6</v>
      </c>
      <c r="X377">
        <v>0</v>
      </c>
      <c r="Y377">
        <v>0</v>
      </c>
      <c r="Z377">
        <v>0</v>
      </c>
      <c r="AA377">
        <v>0</v>
      </c>
      <c r="AB377">
        <v>3</v>
      </c>
      <c r="AC377">
        <v>0</v>
      </c>
      <c r="AD377">
        <v>0</v>
      </c>
      <c r="AE377">
        <v>0</v>
      </c>
      <c r="AF377">
        <v>0</v>
      </c>
      <c r="AG377">
        <v>3</v>
      </c>
      <c r="AH377">
        <v>0</v>
      </c>
      <c r="AI377">
        <v>4</v>
      </c>
      <c r="AJ377">
        <v>1</v>
      </c>
      <c r="AK377">
        <v>4</v>
      </c>
      <c r="AL377">
        <v>3</v>
      </c>
      <c r="AM377">
        <v>10</v>
      </c>
      <c r="AN377">
        <v>3</v>
      </c>
      <c r="AO377" t="s">
        <v>2195</v>
      </c>
      <c r="AP377" t="s">
        <v>2196</v>
      </c>
      <c r="AQ377">
        <v>1.4830000000000001</v>
      </c>
      <c r="AR377" t="s">
        <v>69</v>
      </c>
      <c r="AS377">
        <v>14</v>
      </c>
      <c r="AT377">
        <v>6</v>
      </c>
      <c r="AU377">
        <v>2.5190000000000001E-2</v>
      </c>
      <c r="AV377">
        <v>-5.2399999999999999E-3</v>
      </c>
      <c r="AW377">
        <v>8.5260000000000002E-2</v>
      </c>
      <c r="AX377">
        <v>-1.9539999999999998E-2</v>
      </c>
      <c r="AY377">
        <v>9.4400000000000005E-3</v>
      </c>
      <c r="AZ377">
        <v>-1.66E-3</v>
      </c>
      <c r="BA377">
        <v>0.11071</v>
      </c>
      <c r="BB377">
        <v>1</v>
      </c>
      <c r="BC377" t="s">
        <v>70</v>
      </c>
      <c r="BD377">
        <v>0.92400000000000004</v>
      </c>
      <c r="BE377">
        <v>0.92400000000000004</v>
      </c>
      <c r="BF377" t="s">
        <v>71</v>
      </c>
      <c r="BG377">
        <v>0.17647058823529399</v>
      </c>
      <c r="BI377">
        <v>20</v>
      </c>
      <c r="BJ377">
        <v>0.11071</v>
      </c>
      <c r="BK377">
        <v>0.17647058823529399</v>
      </c>
    </row>
    <row r="378" spans="1:63">
      <c r="A378">
        <v>2289</v>
      </c>
      <c r="B378" t="s">
        <v>2199</v>
      </c>
      <c r="D378" t="s">
        <v>66</v>
      </c>
      <c r="E378">
        <v>2352595</v>
      </c>
      <c r="F378">
        <v>2352975</v>
      </c>
      <c r="G378" t="s">
        <v>2201</v>
      </c>
      <c r="H378">
        <v>127</v>
      </c>
      <c r="I378" t="s">
        <v>63</v>
      </c>
      <c r="J378">
        <v>5</v>
      </c>
      <c r="K378" t="str">
        <f>HYPERLINK("Gene2289-zp_tree_all.dnd", "Gene2289-tree")</f>
        <v>Gene2289-tree</v>
      </c>
      <c r="L378">
        <v>5</v>
      </c>
      <c r="M378">
        <v>0</v>
      </c>
      <c r="N378">
        <v>5</v>
      </c>
      <c r="O378">
        <v>0</v>
      </c>
      <c r="P378">
        <v>0</v>
      </c>
      <c r="Q378" t="s">
        <v>96</v>
      </c>
      <c r="R378" t="s">
        <v>66</v>
      </c>
      <c r="S378" t="s">
        <v>66</v>
      </c>
      <c r="T378" t="s">
        <v>66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4</v>
      </c>
      <c r="AJ378">
        <v>2</v>
      </c>
      <c r="AK378">
        <v>10</v>
      </c>
      <c r="AL378">
        <v>0</v>
      </c>
      <c r="AM378">
        <v>11</v>
      </c>
      <c r="AN378">
        <v>0</v>
      </c>
      <c r="AO378" t="s">
        <v>68</v>
      </c>
      <c r="AP378" t="s">
        <v>68</v>
      </c>
      <c r="AQ378">
        <v>0</v>
      </c>
      <c r="AR378" t="s">
        <v>69</v>
      </c>
      <c r="AS378">
        <v>21</v>
      </c>
      <c r="AT378">
        <v>0</v>
      </c>
      <c r="AU378">
        <v>2.7820000000000001E-2</v>
      </c>
      <c r="AV378">
        <v>-5.0499999999999998E-3</v>
      </c>
      <c r="AW378">
        <v>0.13963999999999999</v>
      </c>
      <c r="AX378">
        <v>-2.665E-2</v>
      </c>
      <c r="AY378">
        <v>0</v>
      </c>
      <c r="AZ378">
        <v>0</v>
      </c>
      <c r="BA378">
        <v>0</v>
      </c>
      <c r="BB378">
        <v>1</v>
      </c>
      <c r="BC378" t="s">
        <v>70</v>
      </c>
      <c r="BD378">
        <v>0.38200000000000001</v>
      </c>
      <c r="BE378">
        <v>0.38200000000000001</v>
      </c>
      <c r="BF378" t="s">
        <v>71</v>
      </c>
      <c r="BG378">
        <v>0.16049382716049301</v>
      </c>
      <c r="BI378">
        <v>21</v>
      </c>
      <c r="BJ378">
        <v>0</v>
      </c>
      <c r="BK378">
        <v>0.16049382716049301</v>
      </c>
    </row>
    <row r="379" spans="1:63">
      <c r="A379">
        <v>2291</v>
      </c>
      <c r="B379" t="s">
        <v>2202</v>
      </c>
      <c r="D379" t="s">
        <v>66</v>
      </c>
      <c r="E379">
        <v>2353842</v>
      </c>
      <c r="F379">
        <v>2354672</v>
      </c>
      <c r="G379" t="s">
        <v>2204</v>
      </c>
      <c r="H379">
        <v>277</v>
      </c>
      <c r="I379" t="s">
        <v>63</v>
      </c>
      <c r="J379">
        <v>5</v>
      </c>
      <c r="K379" t="str">
        <f>HYPERLINK("Gene2291-zp_tree_all.dnd", "Gene2291-tree")</f>
        <v>Gene2291-tree</v>
      </c>
      <c r="L379">
        <v>3</v>
      </c>
      <c r="M379">
        <v>2</v>
      </c>
      <c r="N379">
        <v>3</v>
      </c>
      <c r="O379">
        <v>2</v>
      </c>
      <c r="P379">
        <v>0.4</v>
      </c>
      <c r="Q379" t="s">
        <v>86</v>
      </c>
      <c r="R379" t="s">
        <v>124</v>
      </c>
      <c r="S379" t="s">
        <v>66</v>
      </c>
      <c r="T379" t="s">
        <v>66</v>
      </c>
      <c r="U379">
        <v>0</v>
      </c>
      <c r="V379">
        <v>0</v>
      </c>
      <c r="W379">
        <v>6</v>
      </c>
      <c r="X379">
        <v>0</v>
      </c>
      <c r="Y379">
        <v>0</v>
      </c>
      <c r="Z379">
        <v>0</v>
      </c>
      <c r="AA379">
        <v>0</v>
      </c>
      <c r="AB379">
        <v>2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5</v>
      </c>
      <c r="AJ379">
        <v>2</v>
      </c>
      <c r="AK379">
        <v>19</v>
      </c>
      <c r="AL379">
        <v>4</v>
      </c>
      <c r="AM379">
        <v>26</v>
      </c>
      <c r="AN379">
        <v>3</v>
      </c>
      <c r="AO379" t="s">
        <v>2205</v>
      </c>
      <c r="AP379" t="s">
        <v>2206</v>
      </c>
      <c r="AQ379">
        <v>0.38100000000000001</v>
      </c>
      <c r="AR379" t="s">
        <v>69</v>
      </c>
      <c r="AS379">
        <v>45</v>
      </c>
      <c r="AT379">
        <v>7</v>
      </c>
      <c r="AU379">
        <v>3.1050000000000001E-2</v>
      </c>
      <c r="AV379">
        <v>-5.7600000000000004E-3</v>
      </c>
      <c r="AW379">
        <v>0.12778999999999999</v>
      </c>
      <c r="AX379">
        <v>-2.4549999999999999E-2</v>
      </c>
      <c r="AY379">
        <v>5.3899999999999998E-3</v>
      </c>
      <c r="AZ379">
        <v>-1.1299999999999999E-3</v>
      </c>
      <c r="BA379">
        <v>4.2139999999999997E-2</v>
      </c>
      <c r="BB379">
        <v>1</v>
      </c>
      <c r="BC379" t="s">
        <v>70</v>
      </c>
      <c r="BD379">
        <v>0.73099999999999998</v>
      </c>
      <c r="BE379">
        <v>0.60299999999999998</v>
      </c>
      <c r="BF379" t="s">
        <v>71</v>
      </c>
      <c r="BG379">
        <v>0.13766233766233699</v>
      </c>
      <c r="BI379">
        <v>52</v>
      </c>
      <c r="BJ379">
        <v>4.2139999999999997E-2</v>
      </c>
      <c r="BK379">
        <v>0.13766233766233699</v>
      </c>
    </row>
    <row r="380" spans="1:63">
      <c r="A380">
        <v>2296</v>
      </c>
      <c r="B380" t="s">
        <v>2207</v>
      </c>
      <c r="D380" t="s">
        <v>66</v>
      </c>
      <c r="E380">
        <v>2358914</v>
      </c>
      <c r="F380">
        <v>2359324</v>
      </c>
      <c r="G380" t="s">
        <v>2209</v>
      </c>
      <c r="H380">
        <v>137</v>
      </c>
      <c r="I380" t="s">
        <v>63</v>
      </c>
      <c r="J380">
        <v>5</v>
      </c>
      <c r="K380" t="str">
        <f>HYPERLINK("Gene2296-zp_tree_all.dnd", "Gene2296-tree")</f>
        <v>Gene2296-tree</v>
      </c>
      <c r="L380">
        <v>4</v>
      </c>
      <c r="M380">
        <v>1</v>
      </c>
      <c r="N380">
        <v>4</v>
      </c>
      <c r="O380">
        <v>1</v>
      </c>
      <c r="P380">
        <v>0.2</v>
      </c>
      <c r="Q380" t="s">
        <v>64</v>
      </c>
      <c r="R380" t="s">
        <v>65</v>
      </c>
      <c r="S380" t="s">
        <v>66</v>
      </c>
      <c r="T380" t="s">
        <v>66</v>
      </c>
      <c r="U380">
        <v>0</v>
      </c>
      <c r="V380">
        <v>0</v>
      </c>
      <c r="W380">
        <v>3</v>
      </c>
      <c r="X380">
        <v>0</v>
      </c>
      <c r="Y380">
        <v>0</v>
      </c>
      <c r="Z380">
        <v>0</v>
      </c>
      <c r="AA380">
        <v>0</v>
      </c>
      <c r="AB380">
        <v>2</v>
      </c>
      <c r="AC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5</v>
      </c>
      <c r="AJ380">
        <v>2</v>
      </c>
      <c r="AK380">
        <v>12</v>
      </c>
      <c r="AL380">
        <v>1</v>
      </c>
      <c r="AM380">
        <v>8</v>
      </c>
      <c r="AN380">
        <v>2</v>
      </c>
      <c r="AO380" t="s">
        <v>2210</v>
      </c>
      <c r="AP380" t="s">
        <v>2211</v>
      </c>
      <c r="AQ380">
        <v>0.51</v>
      </c>
      <c r="AR380" t="s">
        <v>69</v>
      </c>
      <c r="AS380">
        <v>20</v>
      </c>
      <c r="AT380">
        <v>3</v>
      </c>
      <c r="AU380">
        <v>2.725E-2</v>
      </c>
      <c r="AV380">
        <v>-3.8899999999999998E-3</v>
      </c>
      <c r="AW380">
        <v>0.10621999999999999</v>
      </c>
      <c r="AX380">
        <v>-1.558E-2</v>
      </c>
      <c r="AY380">
        <v>5.1399999999999996E-3</v>
      </c>
      <c r="AZ380">
        <v>-8.9999999999999998E-4</v>
      </c>
      <c r="BA380">
        <v>4.8410000000000002E-2</v>
      </c>
      <c r="BB380">
        <v>1</v>
      </c>
      <c r="BC380" t="s">
        <v>70</v>
      </c>
      <c r="BD380">
        <v>0.108</v>
      </c>
      <c r="BE380">
        <v>0.108</v>
      </c>
      <c r="BF380" t="s">
        <v>71</v>
      </c>
      <c r="BG380">
        <v>3.125E-2</v>
      </c>
      <c r="BI380">
        <v>23</v>
      </c>
      <c r="BJ380">
        <v>4.8410000000000002E-2</v>
      </c>
      <c r="BK380">
        <v>3.125E-2</v>
      </c>
    </row>
    <row r="381" spans="1:63">
      <c r="A381">
        <v>2298</v>
      </c>
      <c r="B381" t="s">
        <v>2212</v>
      </c>
      <c r="D381" t="s">
        <v>66</v>
      </c>
      <c r="E381">
        <v>2360158</v>
      </c>
      <c r="F381">
        <v>2360490</v>
      </c>
      <c r="G381" t="s">
        <v>74</v>
      </c>
      <c r="H381">
        <v>111</v>
      </c>
      <c r="I381" t="s">
        <v>63</v>
      </c>
      <c r="J381">
        <v>5</v>
      </c>
      <c r="K381" t="str">
        <f>HYPERLINK("Gene2298-zp_tree_all.dnd", "Gene2298-tree")</f>
        <v>Gene2298-tree</v>
      </c>
      <c r="L381">
        <v>3</v>
      </c>
      <c r="M381">
        <v>2</v>
      </c>
      <c r="N381">
        <v>3</v>
      </c>
      <c r="O381">
        <v>2</v>
      </c>
      <c r="P381">
        <v>0.4</v>
      </c>
      <c r="Q381" t="s">
        <v>86</v>
      </c>
      <c r="R381" t="s">
        <v>124</v>
      </c>
      <c r="S381" t="s">
        <v>66</v>
      </c>
      <c r="T381" t="s">
        <v>66</v>
      </c>
      <c r="U381">
        <v>0</v>
      </c>
      <c r="V381">
        <v>0</v>
      </c>
      <c r="W381">
        <v>3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2</v>
      </c>
      <c r="AH381">
        <v>0</v>
      </c>
      <c r="AI381">
        <v>4</v>
      </c>
      <c r="AJ381">
        <v>2</v>
      </c>
      <c r="AK381">
        <v>8</v>
      </c>
      <c r="AL381">
        <v>2</v>
      </c>
      <c r="AM381">
        <v>7</v>
      </c>
      <c r="AN381">
        <v>1</v>
      </c>
      <c r="AO381" t="s">
        <v>2214</v>
      </c>
      <c r="AP381" t="s">
        <v>2215</v>
      </c>
      <c r="AQ381">
        <v>0.48799999999999999</v>
      </c>
      <c r="AR381" t="s">
        <v>69</v>
      </c>
      <c r="AS381">
        <v>15</v>
      </c>
      <c r="AT381">
        <v>3</v>
      </c>
      <c r="AU381">
        <v>2.4920000000000001E-2</v>
      </c>
      <c r="AV381">
        <v>-3.32E-3</v>
      </c>
      <c r="AW381">
        <v>0.11230999999999999</v>
      </c>
      <c r="AX381">
        <v>-1.7350000000000001E-2</v>
      </c>
      <c r="AY381">
        <v>5.2900000000000004E-3</v>
      </c>
      <c r="AZ381">
        <v>-5.9000000000000003E-4</v>
      </c>
      <c r="BA381">
        <v>4.7109999999999999E-2</v>
      </c>
      <c r="BB381">
        <v>1</v>
      </c>
      <c r="BC381" t="s">
        <v>70</v>
      </c>
      <c r="BD381">
        <v>0.59199999999999997</v>
      </c>
      <c r="BE381">
        <v>-0.26700000000000002</v>
      </c>
      <c r="BF381" t="s">
        <v>71</v>
      </c>
      <c r="BG381">
        <v>0.25179856115107901</v>
      </c>
      <c r="BI381">
        <v>18</v>
      </c>
      <c r="BJ381">
        <v>4.7109999999999999E-2</v>
      </c>
      <c r="BK381">
        <v>0.25179856115107901</v>
      </c>
    </row>
    <row r="382" spans="1:63">
      <c r="A382">
        <v>2302</v>
      </c>
      <c r="B382" t="s">
        <v>2216</v>
      </c>
      <c r="D382" t="s">
        <v>66</v>
      </c>
      <c r="E382">
        <v>2363114</v>
      </c>
      <c r="F382">
        <v>2363878</v>
      </c>
      <c r="G382" t="s">
        <v>2218</v>
      </c>
      <c r="H382">
        <v>255</v>
      </c>
      <c r="I382" t="s">
        <v>106</v>
      </c>
      <c r="J382">
        <v>4</v>
      </c>
      <c r="K382" t="str">
        <f>HYPERLINK("Gene2302-zp_tree_all.dnd", "Gene2302-tree")</f>
        <v>Gene2302-tree</v>
      </c>
      <c r="L382">
        <v>3</v>
      </c>
      <c r="M382">
        <v>1</v>
      </c>
      <c r="N382">
        <v>3</v>
      </c>
      <c r="O382">
        <v>1</v>
      </c>
      <c r="P382">
        <v>0.25</v>
      </c>
      <c r="Q382" t="s">
        <v>86</v>
      </c>
      <c r="R382" t="s">
        <v>65</v>
      </c>
      <c r="S382" t="s">
        <v>66</v>
      </c>
      <c r="T382" t="s">
        <v>66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4</v>
      </c>
      <c r="AJ382">
        <v>1</v>
      </c>
      <c r="AK382">
        <v>42</v>
      </c>
      <c r="AL382">
        <v>1</v>
      </c>
      <c r="AM382">
        <v>4</v>
      </c>
      <c r="AN382">
        <v>0</v>
      </c>
      <c r="AO382" t="s">
        <v>2219</v>
      </c>
      <c r="AP382" t="s">
        <v>68</v>
      </c>
      <c r="AQ382">
        <v>0.441</v>
      </c>
      <c r="AR382" t="s">
        <v>69</v>
      </c>
      <c r="AS382">
        <v>46</v>
      </c>
      <c r="AT382">
        <v>1</v>
      </c>
      <c r="AU382">
        <v>3.159E-2</v>
      </c>
      <c r="AV382">
        <v>-7.7299999999999999E-3</v>
      </c>
      <c r="AW382">
        <v>0.15451999999999999</v>
      </c>
      <c r="AX382">
        <v>-4.0930000000000001E-2</v>
      </c>
      <c r="AY382">
        <v>1.1299999999999999E-3</v>
      </c>
      <c r="AZ382">
        <v>-3.3E-4</v>
      </c>
      <c r="BA382">
        <v>7.3200000000000001E-3</v>
      </c>
      <c r="BB382">
        <v>1</v>
      </c>
      <c r="BC382" t="s">
        <v>70</v>
      </c>
      <c r="BD382">
        <v>-0.59599999999999997</v>
      </c>
      <c r="BE382">
        <v>-0.59599999999999997</v>
      </c>
      <c r="BF382" t="s">
        <v>71</v>
      </c>
      <c r="BG382">
        <v>0.16847826086956499</v>
      </c>
      <c r="BI382">
        <v>47</v>
      </c>
      <c r="BJ382">
        <v>7.3200000000000001E-3</v>
      </c>
      <c r="BK382">
        <v>0.16847826086956499</v>
      </c>
    </row>
    <row r="383" spans="1:63">
      <c r="A383">
        <v>2303</v>
      </c>
      <c r="B383" t="s">
        <v>2220</v>
      </c>
      <c r="D383" t="s">
        <v>66</v>
      </c>
      <c r="E383">
        <v>2363916</v>
      </c>
      <c r="F383">
        <v>2364587</v>
      </c>
      <c r="G383" t="s">
        <v>2222</v>
      </c>
      <c r="H383">
        <v>224</v>
      </c>
      <c r="I383" t="s">
        <v>63</v>
      </c>
      <c r="J383">
        <v>5</v>
      </c>
      <c r="K383" t="str">
        <f>HYPERLINK("Gene2303-zp_tree_all.dnd", "Gene2303-tree")</f>
        <v>Gene2303-tree</v>
      </c>
      <c r="L383">
        <v>5</v>
      </c>
      <c r="M383">
        <v>0</v>
      </c>
      <c r="N383">
        <v>5</v>
      </c>
      <c r="O383">
        <v>0</v>
      </c>
      <c r="P383">
        <v>0</v>
      </c>
      <c r="Q383" t="s">
        <v>96</v>
      </c>
      <c r="R383" t="s">
        <v>66</v>
      </c>
      <c r="S383" t="s">
        <v>66</v>
      </c>
      <c r="T383" t="s">
        <v>66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5</v>
      </c>
      <c r="AJ383">
        <v>2</v>
      </c>
      <c r="AK383">
        <v>10</v>
      </c>
      <c r="AL383">
        <v>0</v>
      </c>
      <c r="AM383">
        <v>17</v>
      </c>
      <c r="AN383">
        <v>0</v>
      </c>
      <c r="AO383" t="s">
        <v>68</v>
      </c>
      <c r="AP383" t="s">
        <v>68</v>
      </c>
      <c r="AQ383">
        <v>0</v>
      </c>
      <c r="AR383" t="s">
        <v>69</v>
      </c>
      <c r="AS383">
        <v>27</v>
      </c>
      <c r="AT383">
        <v>0</v>
      </c>
      <c r="AU383">
        <v>2.1129999999999999E-2</v>
      </c>
      <c r="AV383">
        <v>-3.6600000000000001E-3</v>
      </c>
      <c r="AW383">
        <v>9.912E-2</v>
      </c>
      <c r="AX383">
        <v>-1.7770000000000001E-2</v>
      </c>
      <c r="AY383">
        <v>0</v>
      </c>
      <c r="AZ383">
        <v>0</v>
      </c>
      <c r="BA383">
        <v>0</v>
      </c>
      <c r="BB383">
        <v>1</v>
      </c>
      <c r="BC383" t="s">
        <v>70</v>
      </c>
      <c r="BD383">
        <v>0.71399999999999997</v>
      </c>
      <c r="BE383">
        <v>0.71399999999999997</v>
      </c>
      <c r="BF383" t="s">
        <v>71</v>
      </c>
      <c r="BG383">
        <v>0.13099041533546299</v>
      </c>
      <c r="BI383">
        <v>27</v>
      </c>
      <c r="BJ383">
        <v>0</v>
      </c>
      <c r="BK383">
        <v>0.13099041533546299</v>
      </c>
    </row>
    <row r="384" spans="1:63">
      <c r="A384">
        <v>2304</v>
      </c>
      <c r="B384" t="s">
        <v>2223</v>
      </c>
      <c r="D384" t="s">
        <v>66</v>
      </c>
      <c r="E384">
        <v>2364592</v>
      </c>
      <c r="F384">
        <v>2365092</v>
      </c>
      <c r="G384" t="s">
        <v>2225</v>
      </c>
      <c r="H384">
        <v>167</v>
      </c>
      <c r="I384" t="s">
        <v>63</v>
      </c>
      <c r="J384">
        <v>5</v>
      </c>
      <c r="K384" t="str">
        <f>HYPERLINK("Gene2304-zp_tree_all.dnd", "Gene2304-tree")</f>
        <v>Gene2304-tree</v>
      </c>
      <c r="L384">
        <v>5</v>
      </c>
      <c r="M384">
        <v>0</v>
      </c>
      <c r="N384">
        <v>5</v>
      </c>
      <c r="O384">
        <v>0</v>
      </c>
      <c r="P384">
        <v>0</v>
      </c>
      <c r="Q384" t="s">
        <v>96</v>
      </c>
      <c r="R384" t="s">
        <v>66</v>
      </c>
      <c r="S384" t="s">
        <v>66</v>
      </c>
      <c r="T384" t="s">
        <v>66</v>
      </c>
      <c r="U384">
        <v>0</v>
      </c>
      <c r="V384">
        <v>0</v>
      </c>
      <c r="W384">
        <v>2</v>
      </c>
      <c r="X384">
        <v>0</v>
      </c>
      <c r="Y384">
        <v>0</v>
      </c>
      <c r="Z384">
        <v>0</v>
      </c>
      <c r="AA384">
        <v>0</v>
      </c>
      <c r="AB384">
        <v>2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4</v>
      </c>
      <c r="AJ384">
        <v>2</v>
      </c>
      <c r="AK384">
        <v>7</v>
      </c>
      <c r="AL384">
        <v>0</v>
      </c>
      <c r="AM384">
        <v>11</v>
      </c>
      <c r="AN384">
        <v>2</v>
      </c>
      <c r="AO384" t="s">
        <v>68</v>
      </c>
      <c r="AP384" t="s">
        <v>2226</v>
      </c>
      <c r="AQ384">
        <v>0.83899999999999997</v>
      </c>
      <c r="AR384" t="s">
        <v>69</v>
      </c>
      <c r="AS384">
        <v>18</v>
      </c>
      <c r="AT384">
        <v>2</v>
      </c>
      <c r="AU384">
        <v>2.0760000000000001E-2</v>
      </c>
      <c r="AV384">
        <v>-3.7499999999999999E-3</v>
      </c>
      <c r="AW384">
        <v>9.1050000000000006E-2</v>
      </c>
      <c r="AX384">
        <v>-1.609E-2</v>
      </c>
      <c r="AY384">
        <v>3.0699999999999998E-3</v>
      </c>
      <c r="AZ384">
        <v>-7.2999999999999996E-4</v>
      </c>
      <c r="BA384">
        <v>3.3759999999999998E-2</v>
      </c>
      <c r="BB384">
        <v>1</v>
      </c>
      <c r="BC384" t="s">
        <v>70</v>
      </c>
      <c r="BD384">
        <v>1.036</v>
      </c>
      <c r="BE384">
        <v>1.036</v>
      </c>
      <c r="BF384" t="s">
        <v>71</v>
      </c>
      <c r="BG384">
        <v>0.139130434782608</v>
      </c>
      <c r="BI384">
        <v>20</v>
      </c>
      <c r="BJ384">
        <v>3.3759999999999998E-2</v>
      </c>
      <c r="BK384">
        <v>0.139130434782608</v>
      </c>
    </row>
    <row r="385" spans="1:63">
      <c r="A385">
        <v>2311</v>
      </c>
      <c r="B385" t="s">
        <v>2227</v>
      </c>
      <c r="D385" t="s">
        <v>66</v>
      </c>
      <c r="E385">
        <v>2371511</v>
      </c>
      <c r="F385">
        <v>2372311</v>
      </c>
      <c r="G385" t="s">
        <v>2229</v>
      </c>
      <c r="H385">
        <v>267</v>
      </c>
      <c r="I385" t="s">
        <v>85</v>
      </c>
      <c r="J385">
        <v>4</v>
      </c>
      <c r="K385" t="str">
        <f>HYPERLINK("Gene2311-zp_tree_all.dnd", "Gene2311-tree")</f>
        <v>Gene2311-tree</v>
      </c>
      <c r="L385">
        <v>1</v>
      </c>
      <c r="M385">
        <v>3</v>
      </c>
      <c r="N385">
        <v>1</v>
      </c>
      <c r="O385">
        <v>3</v>
      </c>
      <c r="P385">
        <v>0.75</v>
      </c>
      <c r="Q385" t="s">
        <v>65</v>
      </c>
      <c r="R385" t="s">
        <v>86</v>
      </c>
      <c r="S385" t="s">
        <v>66</v>
      </c>
      <c r="T385" t="s">
        <v>66</v>
      </c>
      <c r="U385">
        <v>0</v>
      </c>
      <c r="V385">
        <v>0</v>
      </c>
      <c r="W385">
        <v>16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16</v>
      </c>
      <c r="AH385">
        <v>0</v>
      </c>
      <c r="AI385">
        <v>4</v>
      </c>
      <c r="AJ385">
        <v>1</v>
      </c>
      <c r="AK385">
        <v>29</v>
      </c>
      <c r="AL385">
        <v>15</v>
      </c>
      <c r="AM385">
        <v>3</v>
      </c>
      <c r="AN385">
        <v>3</v>
      </c>
      <c r="AO385" t="s">
        <v>2230</v>
      </c>
      <c r="AP385" t="s">
        <v>2231</v>
      </c>
      <c r="AQ385">
        <v>0.69099999999999995</v>
      </c>
      <c r="AR385" t="s">
        <v>69</v>
      </c>
      <c r="AS385">
        <v>32</v>
      </c>
      <c r="AT385">
        <v>18</v>
      </c>
      <c r="AU385">
        <v>3.2460000000000003E-2</v>
      </c>
      <c r="AV385">
        <v>-7.6699999999999997E-3</v>
      </c>
      <c r="AW385">
        <v>9.4589999999999994E-2</v>
      </c>
      <c r="AX385">
        <v>-2.256E-2</v>
      </c>
      <c r="AY385">
        <v>1.5990000000000001E-2</v>
      </c>
      <c r="AZ385">
        <v>-4.0600000000000002E-3</v>
      </c>
      <c r="BA385">
        <v>0.16905999999999999</v>
      </c>
      <c r="BB385">
        <v>1</v>
      </c>
      <c r="BC385" t="s">
        <v>70</v>
      </c>
      <c r="BD385">
        <v>-0.48599999999999999</v>
      </c>
      <c r="BE385">
        <v>-0.48599999999999999</v>
      </c>
      <c r="BF385" t="s">
        <v>71</v>
      </c>
      <c r="BG385">
        <v>0.133333333333333</v>
      </c>
      <c r="BI385">
        <v>50</v>
      </c>
      <c r="BJ385">
        <v>0.16905999999999999</v>
      </c>
      <c r="BK385">
        <v>0.133333333333333</v>
      </c>
    </row>
    <row r="386" spans="1:63">
      <c r="A386">
        <v>2319</v>
      </c>
      <c r="B386" t="s">
        <v>2232</v>
      </c>
      <c r="D386" t="s">
        <v>66</v>
      </c>
      <c r="E386">
        <v>2379103</v>
      </c>
      <c r="F386">
        <v>2380272</v>
      </c>
      <c r="G386" t="s">
        <v>2234</v>
      </c>
      <c r="H386">
        <v>390</v>
      </c>
      <c r="I386" t="s">
        <v>85</v>
      </c>
      <c r="J386">
        <v>4</v>
      </c>
      <c r="K386" t="str">
        <f>HYPERLINK("Gene2319-zp_tree_all.dnd", "Gene2319-tree")</f>
        <v>Gene2319-tree</v>
      </c>
      <c r="L386">
        <v>2</v>
      </c>
      <c r="M386">
        <v>2</v>
      </c>
      <c r="N386">
        <v>2</v>
      </c>
      <c r="O386">
        <v>2</v>
      </c>
      <c r="P386">
        <v>0.5</v>
      </c>
      <c r="Q386" t="s">
        <v>124</v>
      </c>
      <c r="R386" t="s">
        <v>124</v>
      </c>
      <c r="S386" t="s">
        <v>66</v>
      </c>
      <c r="T386" t="s">
        <v>66</v>
      </c>
      <c r="U386">
        <v>0</v>
      </c>
      <c r="V386">
        <v>0</v>
      </c>
      <c r="W386">
        <v>2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2</v>
      </c>
      <c r="AH386">
        <v>0</v>
      </c>
      <c r="AI386">
        <v>4</v>
      </c>
      <c r="AJ386">
        <v>1</v>
      </c>
      <c r="AK386">
        <v>75</v>
      </c>
      <c r="AL386">
        <v>2</v>
      </c>
      <c r="AM386">
        <v>6</v>
      </c>
      <c r="AN386">
        <v>0</v>
      </c>
      <c r="AO386" t="s">
        <v>2235</v>
      </c>
      <c r="AP386" t="s">
        <v>68</v>
      </c>
      <c r="AQ386">
        <v>0.91900000000000004</v>
      </c>
      <c r="AR386" t="s">
        <v>69</v>
      </c>
      <c r="AS386">
        <v>81</v>
      </c>
      <c r="AT386">
        <v>2</v>
      </c>
      <c r="AU386">
        <v>3.4470000000000001E-2</v>
      </c>
      <c r="AV386">
        <v>-7.5100000000000002E-3</v>
      </c>
      <c r="AW386">
        <v>0.16689999999999999</v>
      </c>
      <c r="AX386">
        <v>-3.9609999999999999E-2</v>
      </c>
      <c r="AY386">
        <v>1.1100000000000001E-3</v>
      </c>
      <c r="AZ386">
        <v>-2.5999999999999998E-4</v>
      </c>
      <c r="BA386">
        <v>6.6800000000000002E-3</v>
      </c>
      <c r="BB386">
        <v>1</v>
      </c>
      <c r="BC386" t="s">
        <v>70</v>
      </c>
      <c r="BD386">
        <v>-0.28299999999999997</v>
      </c>
      <c r="BE386">
        <v>-0.53400000000000003</v>
      </c>
      <c r="BF386" t="s">
        <v>71</v>
      </c>
      <c r="BG386">
        <v>0.17253521126760499</v>
      </c>
      <c r="BI386">
        <v>83</v>
      </c>
      <c r="BJ386">
        <v>6.6800000000000002E-3</v>
      </c>
      <c r="BK386">
        <v>0.17253521126760499</v>
      </c>
    </row>
    <row r="387" spans="1:63">
      <c r="A387">
        <v>2321</v>
      </c>
      <c r="B387" t="s">
        <v>2236</v>
      </c>
      <c r="D387" t="s">
        <v>66</v>
      </c>
      <c r="E387">
        <v>2381357</v>
      </c>
      <c r="F387">
        <v>2381803</v>
      </c>
      <c r="G387" t="s">
        <v>2238</v>
      </c>
      <c r="H387">
        <v>149</v>
      </c>
      <c r="I387" t="s">
        <v>63</v>
      </c>
      <c r="J387">
        <v>5</v>
      </c>
      <c r="K387" t="str">
        <f>HYPERLINK("Gene2321-zp_tree_all.dnd", "Gene2321-tree")</f>
        <v>Gene2321-tree</v>
      </c>
      <c r="L387">
        <v>3</v>
      </c>
      <c r="M387">
        <v>2</v>
      </c>
      <c r="N387">
        <v>3</v>
      </c>
      <c r="O387">
        <v>2</v>
      </c>
      <c r="P387">
        <v>0.4</v>
      </c>
      <c r="Q387" t="s">
        <v>86</v>
      </c>
      <c r="R387" t="s">
        <v>124</v>
      </c>
      <c r="S387" t="s">
        <v>66</v>
      </c>
      <c r="T387" t="s">
        <v>66</v>
      </c>
      <c r="U387">
        <v>0</v>
      </c>
      <c r="V387">
        <v>0</v>
      </c>
      <c r="W387">
        <v>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2</v>
      </c>
      <c r="AH387">
        <v>0</v>
      </c>
      <c r="AI387">
        <v>5</v>
      </c>
      <c r="AJ387">
        <v>2</v>
      </c>
      <c r="AK387">
        <v>9</v>
      </c>
      <c r="AL387">
        <v>2</v>
      </c>
      <c r="AM387">
        <v>13</v>
      </c>
      <c r="AN387">
        <v>0</v>
      </c>
      <c r="AO387" t="s">
        <v>2239</v>
      </c>
      <c r="AP387" t="s">
        <v>68</v>
      </c>
      <c r="AQ387">
        <v>1.24</v>
      </c>
      <c r="AR387" t="s">
        <v>69</v>
      </c>
      <c r="AS387">
        <v>22</v>
      </c>
      <c r="AT387">
        <v>2</v>
      </c>
      <c r="AU387">
        <v>2.7029999999999998E-2</v>
      </c>
      <c r="AV387">
        <v>-4.5900000000000003E-3</v>
      </c>
      <c r="AW387">
        <v>0.12826000000000001</v>
      </c>
      <c r="AX387">
        <v>-2.3820000000000001E-2</v>
      </c>
      <c r="AY387">
        <v>3.16E-3</v>
      </c>
      <c r="AZ387">
        <v>-8.5999999999999998E-4</v>
      </c>
      <c r="BA387">
        <v>2.4670000000000001E-2</v>
      </c>
      <c r="BB387">
        <v>1</v>
      </c>
      <c r="BC387" t="s">
        <v>70</v>
      </c>
      <c r="BD387">
        <v>0.64600000000000002</v>
      </c>
      <c r="BE387">
        <v>0.377</v>
      </c>
      <c r="BF387" t="s">
        <v>71</v>
      </c>
      <c r="BG387">
        <v>0.15025906735751199</v>
      </c>
      <c r="BI387">
        <v>24</v>
      </c>
      <c r="BJ387">
        <v>2.4670000000000001E-2</v>
      </c>
      <c r="BK387">
        <v>0.15025906735751199</v>
      </c>
    </row>
    <row r="388" spans="1:63">
      <c r="A388">
        <v>2322</v>
      </c>
      <c r="B388" t="s">
        <v>2240</v>
      </c>
      <c r="D388" t="s">
        <v>66</v>
      </c>
      <c r="E388">
        <v>2381922</v>
      </c>
      <c r="F388">
        <v>2382965</v>
      </c>
      <c r="G388" t="s">
        <v>2242</v>
      </c>
      <c r="H388">
        <v>348</v>
      </c>
      <c r="I388" t="s">
        <v>63</v>
      </c>
      <c r="J388">
        <v>5</v>
      </c>
      <c r="K388" t="str">
        <f>HYPERLINK("Gene2322-zp_tree_all.dnd", "Gene2322-tree")</f>
        <v>Gene2322-tree</v>
      </c>
      <c r="L388">
        <v>4</v>
      </c>
      <c r="M388">
        <v>1</v>
      </c>
      <c r="N388">
        <v>4</v>
      </c>
      <c r="O388">
        <v>1</v>
      </c>
      <c r="P388">
        <v>0.2</v>
      </c>
      <c r="Q388" t="s">
        <v>64</v>
      </c>
      <c r="R388" t="s">
        <v>65</v>
      </c>
      <c r="S388" t="s">
        <v>66</v>
      </c>
      <c r="T388" t="s">
        <v>66</v>
      </c>
      <c r="U388">
        <v>0</v>
      </c>
      <c r="V388">
        <v>0</v>
      </c>
      <c r="W388">
        <v>3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2</v>
      </c>
      <c r="AH388">
        <v>0</v>
      </c>
      <c r="AI388">
        <v>5</v>
      </c>
      <c r="AJ388">
        <v>2</v>
      </c>
      <c r="AK388">
        <v>28</v>
      </c>
      <c r="AL388">
        <v>2</v>
      </c>
      <c r="AM388">
        <v>36</v>
      </c>
      <c r="AN388">
        <v>1</v>
      </c>
      <c r="AO388" t="s">
        <v>2243</v>
      </c>
      <c r="AP388" t="s">
        <v>2244</v>
      </c>
      <c r="AQ388">
        <v>0.33400000000000002</v>
      </c>
      <c r="AR388" t="s">
        <v>69</v>
      </c>
      <c r="AS388">
        <v>64</v>
      </c>
      <c r="AT388">
        <v>3</v>
      </c>
      <c r="AU388">
        <v>3.1419999999999997E-2</v>
      </c>
      <c r="AV388">
        <v>-5.4099999999999999E-3</v>
      </c>
      <c r="AW388">
        <v>0.15013000000000001</v>
      </c>
      <c r="AX388">
        <v>-2.7040000000000002E-2</v>
      </c>
      <c r="AY388">
        <v>1.74E-3</v>
      </c>
      <c r="AZ388">
        <v>-4.6999999999999999E-4</v>
      </c>
      <c r="BA388">
        <v>1.159E-2</v>
      </c>
      <c r="BB388">
        <v>1</v>
      </c>
      <c r="BC388" t="s">
        <v>70</v>
      </c>
      <c r="BD388">
        <v>0.91</v>
      </c>
      <c r="BE388">
        <v>0.54800000000000004</v>
      </c>
      <c r="BF388" t="s">
        <v>71</v>
      </c>
      <c r="BG388">
        <v>9.7949886104783598E-2</v>
      </c>
      <c r="BI388">
        <v>67</v>
      </c>
      <c r="BJ388">
        <v>1.159E-2</v>
      </c>
      <c r="BK388">
        <v>9.7949886104783598E-2</v>
      </c>
    </row>
    <row r="389" spans="1:63">
      <c r="A389">
        <v>2323</v>
      </c>
      <c r="B389" t="s">
        <v>2245</v>
      </c>
      <c r="D389" t="s">
        <v>66</v>
      </c>
      <c r="E389">
        <v>2382910</v>
      </c>
      <c r="F389">
        <v>2383608</v>
      </c>
      <c r="G389" t="s">
        <v>2247</v>
      </c>
      <c r="H389">
        <v>233</v>
      </c>
      <c r="I389" t="s">
        <v>63</v>
      </c>
      <c r="J389">
        <v>5</v>
      </c>
      <c r="K389" t="str">
        <f>HYPERLINK("Gene2323-zp_tree_all.dnd", "Gene2323-tree")</f>
        <v>Gene2323-tree</v>
      </c>
      <c r="L389">
        <v>3</v>
      </c>
      <c r="M389">
        <v>2</v>
      </c>
      <c r="N389">
        <v>3</v>
      </c>
      <c r="O389">
        <v>2</v>
      </c>
      <c r="P389">
        <v>0.4</v>
      </c>
      <c r="Q389" t="s">
        <v>86</v>
      </c>
      <c r="R389" t="s">
        <v>124</v>
      </c>
      <c r="S389" t="s">
        <v>66</v>
      </c>
      <c r="T389" t="s">
        <v>66</v>
      </c>
      <c r="U389">
        <v>0</v>
      </c>
      <c r="V389">
        <v>0</v>
      </c>
      <c r="W389">
        <v>8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8</v>
      </c>
      <c r="AH389">
        <v>0</v>
      </c>
      <c r="AI389">
        <v>5</v>
      </c>
      <c r="AJ389">
        <v>2</v>
      </c>
      <c r="AK389">
        <v>28</v>
      </c>
      <c r="AL389">
        <v>5</v>
      </c>
      <c r="AM389">
        <v>8</v>
      </c>
      <c r="AN389">
        <v>3</v>
      </c>
      <c r="AO389" t="s">
        <v>2248</v>
      </c>
      <c r="AP389" t="s">
        <v>2249</v>
      </c>
      <c r="AQ389">
        <v>0.51700000000000002</v>
      </c>
      <c r="AR389" t="s">
        <v>69</v>
      </c>
      <c r="AS389">
        <v>36</v>
      </c>
      <c r="AT389">
        <v>8</v>
      </c>
      <c r="AU389">
        <v>2.7179999999999999E-2</v>
      </c>
      <c r="AV389">
        <v>-4.4099999999999999E-3</v>
      </c>
      <c r="AW389">
        <v>0.11204</v>
      </c>
      <c r="AX389">
        <v>-1.804E-2</v>
      </c>
      <c r="AY389">
        <v>6.9499999999999996E-3</v>
      </c>
      <c r="AZ389">
        <v>-1.4599999999999999E-3</v>
      </c>
      <c r="BA389">
        <v>6.2050000000000001E-2</v>
      </c>
      <c r="BB389">
        <v>1</v>
      </c>
      <c r="BC389" t="s">
        <v>70</v>
      </c>
      <c r="BD389">
        <v>-0.433</v>
      </c>
      <c r="BE389">
        <v>-0.58199999999999996</v>
      </c>
      <c r="BF389" t="s">
        <v>71</v>
      </c>
      <c r="BG389">
        <v>0.17868338557993699</v>
      </c>
      <c r="BI389">
        <v>44</v>
      </c>
      <c r="BJ389">
        <v>6.2050000000000001E-2</v>
      </c>
      <c r="BK389">
        <v>0.17868338557993699</v>
      </c>
    </row>
    <row r="390" spans="1:63">
      <c r="A390">
        <v>2324</v>
      </c>
      <c r="B390" t="s">
        <v>2250</v>
      </c>
      <c r="D390" t="s">
        <v>66</v>
      </c>
      <c r="E390">
        <v>2383618</v>
      </c>
      <c r="F390">
        <v>2384370</v>
      </c>
      <c r="G390" t="s">
        <v>2252</v>
      </c>
      <c r="H390">
        <v>251</v>
      </c>
      <c r="I390" t="s">
        <v>63</v>
      </c>
      <c r="J390">
        <v>5</v>
      </c>
      <c r="K390" t="str">
        <f>HYPERLINK("Gene2324-zp_tree_all.dnd", "Gene2324-tree")</f>
        <v>Gene2324-tree</v>
      </c>
      <c r="L390">
        <v>4</v>
      </c>
      <c r="M390">
        <v>1</v>
      </c>
      <c r="N390">
        <v>4</v>
      </c>
      <c r="O390">
        <v>1</v>
      </c>
      <c r="P390">
        <v>0.2</v>
      </c>
      <c r="Q390" t="s">
        <v>64</v>
      </c>
      <c r="R390" t="s">
        <v>65</v>
      </c>
      <c r="S390" t="s">
        <v>66</v>
      </c>
      <c r="T390" t="s">
        <v>66</v>
      </c>
      <c r="U390">
        <v>0</v>
      </c>
      <c r="V390">
        <v>0</v>
      </c>
      <c r="W390">
        <v>5</v>
      </c>
      <c r="X390">
        <v>0</v>
      </c>
      <c r="Y390">
        <v>0</v>
      </c>
      <c r="Z390">
        <v>0</v>
      </c>
      <c r="AA390">
        <v>0</v>
      </c>
      <c r="AB390">
        <v>4</v>
      </c>
      <c r="AC390">
        <v>0</v>
      </c>
      <c r="AD390">
        <v>0</v>
      </c>
      <c r="AE390">
        <v>0</v>
      </c>
      <c r="AF390">
        <v>0</v>
      </c>
      <c r="AG390">
        <v>1</v>
      </c>
      <c r="AH390">
        <v>0</v>
      </c>
      <c r="AI390">
        <v>4</v>
      </c>
      <c r="AJ390">
        <v>2</v>
      </c>
      <c r="AK390">
        <v>8</v>
      </c>
      <c r="AL390">
        <v>0</v>
      </c>
      <c r="AM390">
        <v>10</v>
      </c>
      <c r="AN390">
        <v>5</v>
      </c>
      <c r="AO390" t="s">
        <v>68</v>
      </c>
      <c r="AP390" t="s">
        <v>2253</v>
      </c>
      <c r="AQ390">
        <v>1.9339999999999999</v>
      </c>
      <c r="AR390" t="s">
        <v>69</v>
      </c>
      <c r="AS390">
        <v>18</v>
      </c>
      <c r="AT390">
        <v>5</v>
      </c>
      <c r="AU390">
        <v>1.541E-2</v>
      </c>
      <c r="AV390">
        <v>-2.5899999999999999E-3</v>
      </c>
      <c r="AW390">
        <v>5.3420000000000002E-2</v>
      </c>
      <c r="AX390">
        <v>-8.1300000000000001E-3</v>
      </c>
      <c r="AY390">
        <v>5.62E-3</v>
      </c>
      <c r="AZ390">
        <v>-1.15E-3</v>
      </c>
      <c r="BA390">
        <v>0.10517</v>
      </c>
      <c r="BB390">
        <v>1</v>
      </c>
      <c r="BC390" t="s">
        <v>70</v>
      </c>
      <c r="BD390">
        <v>1.117</v>
      </c>
      <c r="BE390">
        <v>1.117</v>
      </c>
      <c r="BF390" t="s">
        <v>71</v>
      </c>
      <c r="BG390">
        <v>1.01694915254237E-2</v>
      </c>
      <c r="BI390">
        <v>23</v>
      </c>
      <c r="BJ390">
        <v>0.10517</v>
      </c>
      <c r="BK390">
        <v>1.01694915254237E-2</v>
      </c>
    </row>
    <row r="391" spans="1:63">
      <c r="A391">
        <v>2325</v>
      </c>
      <c r="B391" t="s">
        <v>2254</v>
      </c>
      <c r="D391" t="s">
        <v>66</v>
      </c>
      <c r="E391">
        <v>2384537</v>
      </c>
      <c r="F391">
        <v>2384761</v>
      </c>
      <c r="G391" t="s">
        <v>2256</v>
      </c>
      <c r="H391">
        <v>75</v>
      </c>
      <c r="I391" t="s">
        <v>63</v>
      </c>
      <c r="J391">
        <v>5</v>
      </c>
      <c r="K391" t="str">
        <f>HYPERLINK("Gene2325-zp_tree_all.dnd", "Gene2325-tree")</f>
        <v>Gene2325-tree</v>
      </c>
      <c r="L391">
        <v>5</v>
      </c>
      <c r="M391">
        <v>0</v>
      </c>
      <c r="N391">
        <v>5</v>
      </c>
      <c r="O391">
        <v>0</v>
      </c>
      <c r="P391">
        <v>0</v>
      </c>
      <c r="Q391" t="s">
        <v>96</v>
      </c>
      <c r="R391" t="s">
        <v>66</v>
      </c>
      <c r="S391" t="s">
        <v>66</v>
      </c>
      <c r="T391" t="s">
        <v>66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4</v>
      </c>
      <c r="AJ391">
        <v>1</v>
      </c>
      <c r="AK391">
        <v>8</v>
      </c>
      <c r="AL391">
        <v>0</v>
      </c>
      <c r="AM391">
        <v>4</v>
      </c>
      <c r="AN391">
        <v>1</v>
      </c>
      <c r="AO391" t="s">
        <v>68</v>
      </c>
      <c r="AP391" t="s">
        <v>2257</v>
      </c>
      <c r="AQ391">
        <v>0</v>
      </c>
      <c r="AR391" t="s">
        <v>69</v>
      </c>
      <c r="AS391">
        <v>12</v>
      </c>
      <c r="AT391">
        <v>1</v>
      </c>
      <c r="AU391">
        <v>2.7560000000000001E-2</v>
      </c>
      <c r="AV391">
        <v>-4.0600000000000002E-3</v>
      </c>
      <c r="AW391">
        <v>0.12866</v>
      </c>
      <c r="AX391">
        <v>-1.908E-2</v>
      </c>
      <c r="AY391">
        <v>3.4099999999999998E-3</v>
      </c>
      <c r="AZ391">
        <v>-8.0999999999999996E-4</v>
      </c>
      <c r="BA391">
        <v>2.648E-2</v>
      </c>
      <c r="BB391">
        <v>1</v>
      </c>
      <c r="BC391" t="s">
        <v>70</v>
      </c>
      <c r="BD391">
        <v>-4.7E-2</v>
      </c>
      <c r="BE391">
        <v>-4.7E-2</v>
      </c>
      <c r="BF391" t="s">
        <v>71</v>
      </c>
      <c r="BG391">
        <v>0.11340206185567001</v>
      </c>
      <c r="BI391">
        <v>13</v>
      </c>
      <c r="BJ391">
        <v>2.648E-2</v>
      </c>
      <c r="BK391">
        <v>0.11340206185567001</v>
      </c>
    </row>
    <row r="392" spans="1:63">
      <c r="A392">
        <v>2326</v>
      </c>
      <c r="B392" t="s">
        <v>2258</v>
      </c>
      <c r="D392" t="s">
        <v>66</v>
      </c>
      <c r="E392">
        <v>2384786</v>
      </c>
      <c r="F392">
        <v>2385355</v>
      </c>
      <c r="G392" t="s">
        <v>2260</v>
      </c>
      <c r="H392">
        <v>190</v>
      </c>
      <c r="I392" t="s">
        <v>63</v>
      </c>
      <c r="J392">
        <v>5</v>
      </c>
      <c r="K392" t="str">
        <f>HYPERLINK("Gene2326-zp_tree_all.dnd", "Gene2326-tree")</f>
        <v>Gene2326-tree</v>
      </c>
      <c r="L392">
        <v>5</v>
      </c>
      <c r="M392">
        <v>0</v>
      </c>
      <c r="N392">
        <v>4</v>
      </c>
      <c r="O392">
        <v>0</v>
      </c>
      <c r="P392">
        <v>0</v>
      </c>
      <c r="Q392" t="s">
        <v>135</v>
      </c>
      <c r="R392" t="s">
        <v>66</v>
      </c>
      <c r="S392" t="s">
        <v>66</v>
      </c>
      <c r="T392" t="s">
        <v>66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4</v>
      </c>
      <c r="AJ392">
        <v>1</v>
      </c>
      <c r="AK392">
        <v>8</v>
      </c>
      <c r="AL392">
        <v>0</v>
      </c>
      <c r="AM392">
        <v>12</v>
      </c>
      <c r="AN392">
        <v>0</v>
      </c>
      <c r="AO392" t="s">
        <v>68</v>
      </c>
      <c r="AP392" t="s">
        <v>68</v>
      </c>
      <c r="AQ392">
        <v>0</v>
      </c>
      <c r="AR392" t="s">
        <v>69</v>
      </c>
      <c r="AS392">
        <v>20</v>
      </c>
      <c r="AT392">
        <v>0</v>
      </c>
      <c r="AU392">
        <v>2.1049999999999999E-2</v>
      </c>
      <c r="AV392">
        <v>-4.0899999999999999E-3</v>
      </c>
      <c r="AW392">
        <v>0.1009</v>
      </c>
      <c r="AX392">
        <v>-2.019E-2</v>
      </c>
      <c r="AY392">
        <v>0</v>
      </c>
      <c r="AZ392">
        <v>0</v>
      </c>
      <c r="BA392">
        <v>0</v>
      </c>
      <c r="BB392">
        <v>1</v>
      </c>
      <c r="BC392" t="s">
        <v>70</v>
      </c>
      <c r="BD392">
        <v>0.77</v>
      </c>
      <c r="BE392">
        <v>0.77</v>
      </c>
      <c r="BF392" t="s">
        <v>71</v>
      </c>
      <c r="BG392">
        <v>0.106870229007633</v>
      </c>
      <c r="BI392">
        <v>20</v>
      </c>
      <c r="BJ392">
        <v>0</v>
      </c>
      <c r="BK392">
        <v>0.106870229007633</v>
      </c>
    </row>
    <row r="393" spans="1:63">
      <c r="A393">
        <v>2328</v>
      </c>
      <c r="B393" t="s">
        <v>2264</v>
      </c>
      <c r="D393" t="s">
        <v>66</v>
      </c>
      <c r="E393">
        <v>2386198</v>
      </c>
      <c r="F393">
        <v>2387673</v>
      </c>
      <c r="G393" t="s">
        <v>2266</v>
      </c>
      <c r="H393">
        <v>492</v>
      </c>
      <c r="I393" t="s">
        <v>63</v>
      </c>
      <c r="J393">
        <v>5</v>
      </c>
      <c r="K393" t="str">
        <f>HYPERLINK("Gene2328-zp_tree_all.dnd", "Gene2328-tree")</f>
        <v>Gene2328-tree</v>
      </c>
      <c r="L393">
        <v>4</v>
      </c>
      <c r="M393">
        <v>1</v>
      </c>
      <c r="N393">
        <v>4</v>
      </c>
      <c r="O393">
        <v>1</v>
      </c>
      <c r="P393">
        <v>0.2</v>
      </c>
      <c r="Q393" t="s">
        <v>64</v>
      </c>
      <c r="R393" t="s">
        <v>65</v>
      </c>
      <c r="S393" t="s">
        <v>66</v>
      </c>
      <c r="T393" t="s">
        <v>66</v>
      </c>
      <c r="U393">
        <v>0</v>
      </c>
      <c r="V393">
        <v>0</v>
      </c>
      <c r="W393">
        <v>4</v>
      </c>
      <c r="X393">
        <v>0</v>
      </c>
      <c r="Y393">
        <v>0</v>
      </c>
      <c r="Z393">
        <v>0</v>
      </c>
      <c r="AA393">
        <v>0</v>
      </c>
      <c r="AB393">
        <v>3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0</v>
      </c>
      <c r="AI393">
        <v>5</v>
      </c>
      <c r="AJ393">
        <v>2</v>
      </c>
      <c r="AK393">
        <v>34</v>
      </c>
      <c r="AL393">
        <v>1</v>
      </c>
      <c r="AM393">
        <v>50</v>
      </c>
      <c r="AN393">
        <v>3</v>
      </c>
      <c r="AO393" t="s">
        <v>2267</v>
      </c>
      <c r="AP393" t="s">
        <v>2268</v>
      </c>
      <c r="AQ393">
        <v>0.379</v>
      </c>
      <c r="AR393" t="s">
        <v>69</v>
      </c>
      <c r="AS393">
        <v>84</v>
      </c>
      <c r="AT393">
        <v>4</v>
      </c>
      <c r="AU393">
        <v>3.0349999999999999E-2</v>
      </c>
      <c r="AV393">
        <v>-5.6100000000000004E-3</v>
      </c>
      <c r="AW393">
        <v>0.14510000000000001</v>
      </c>
      <c r="AX393">
        <v>-2.792E-2</v>
      </c>
      <c r="AY393">
        <v>1.9300000000000001E-3</v>
      </c>
      <c r="AZ393">
        <v>-3.6999999999999999E-4</v>
      </c>
      <c r="BA393">
        <v>1.3299999999999999E-2</v>
      </c>
      <c r="BB393">
        <v>1</v>
      </c>
      <c r="BC393" t="s">
        <v>70</v>
      </c>
      <c r="BD393">
        <v>0.84299999999999997</v>
      </c>
      <c r="BE393">
        <v>0.65500000000000003</v>
      </c>
      <c r="BF393" t="s">
        <v>71</v>
      </c>
      <c r="BG393">
        <v>0.15440115440115401</v>
      </c>
      <c r="BI393">
        <v>88</v>
      </c>
      <c r="BJ393">
        <v>1.3299999999999999E-2</v>
      </c>
      <c r="BK393">
        <v>0.15440115440115401</v>
      </c>
    </row>
    <row r="394" spans="1:63">
      <c r="A394">
        <v>2330</v>
      </c>
      <c r="B394" t="s">
        <v>2269</v>
      </c>
      <c r="D394" t="s">
        <v>66</v>
      </c>
      <c r="E394">
        <v>2388613</v>
      </c>
      <c r="F394">
        <v>2388813</v>
      </c>
      <c r="G394" t="s">
        <v>74</v>
      </c>
      <c r="H394">
        <v>67</v>
      </c>
      <c r="I394" t="s">
        <v>63</v>
      </c>
      <c r="J394">
        <v>5</v>
      </c>
      <c r="K394" t="str">
        <f>HYPERLINK("Gene2330-zp_tree_all.dnd", "Gene2330-tree")</f>
        <v>Gene2330-tree</v>
      </c>
      <c r="L394">
        <v>5</v>
      </c>
      <c r="M394">
        <v>0</v>
      </c>
      <c r="N394">
        <v>4</v>
      </c>
      <c r="O394">
        <v>0</v>
      </c>
      <c r="P394">
        <v>0</v>
      </c>
      <c r="Q394" t="s">
        <v>135</v>
      </c>
      <c r="R394" t="s">
        <v>66</v>
      </c>
      <c r="S394" t="s">
        <v>66</v>
      </c>
      <c r="T394" t="s">
        <v>66</v>
      </c>
      <c r="U394">
        <v>0</v>
      </c>
      <c r="V394">
        <v>0</v>
      </c>
      <c r="W394">
        <v>3</v>
      </c>
      <c r="X394">
        <v>0</v>
      </c>
      <c r="Y394">
        <v>0</v>
      </c>
      <c r="Z394">
        <v>0</v>
      </c>
      <c r="AA394">
        <v>0</v>
      </c>
      <c r="AB394">
        <v>3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3</v>
      </c>
      <c r="AJ394">
        <v>1</v>
      </c>
      <c r="AK394">
        <v>5</v>
      </c>
      <c r="AL394">
        <v>0</v>
      </c>
      <c r="AM394">
        <v>4</v>
      </c>
      <c r="AN394">
        <v>3</v>
      </c>
      <c r="AO394" t="s">
        <v>68</v>
      </c>
      <c r="AP394" t="s">
        <v>2271</v>
      </c>
      <c r="AQ394">
        <v>0</v>
      </c>
      <c r="AR394" t="s">
        <v>69</v>
      </c>
      <c r="AS394">
        <v>9</v>
      </c>
      <c r="AT394">
        <v>3</v>
      </c>
      <c r="AU394">
        <v>3.5659999999999997E-2</v>
      </c>
      <c r="AV394">
        <v>-7.1700000000000002E-3</v>
      </c>
      <c r="AW394">
        <v>0.12639</v>
      </c>
      <c r="AX394">
        <v>-2.3699999999999999E-2</v>
      </c>
      <c r="AY394">
        <v>1.2999999999999999E-2</v>
      </c>
      <c r="AZ394">
        <v>-3.0599999999999998E-3</v>
      </c>
      <c r="BA394">
        <v>0.10287</v>
      </c>
      <c r="BB394">
        <v>1</v>
      </c>
      <c r="BC394" t="s">
        <v>70</v>
      </c>
      <c r="BD394">
        <v>0.80400000000000005</v>
      </c>
      <c r="BE394">
        <v>0.80400000000000005</v>
      </c>
      <c r="BF394" t="s">
        <v>71</v>
      </c>
      <c r="BG394">
        <v>0.146341463414634</v>
      </c>
      <c r="BI394">
        <v>12</v>
      </c>
      <c r="BJ394">
        <v>0.10287</v>
      </c>
      <c r="BK394">
        <v>0.146341463414634</v>
      </c>
    </row>
    <row r="395" spans="1:63">
      <c r="A395">
        <v>2338</v>
      </c>
      <c r="B395" t="s">
        <v>2274</v>
      </c>
      <c r="D395" t="s">
        <v>66</v>
      </c>
      <c r="E395">
        <v>2394667</v>
      </c>
      <c r="F395">
        <v>2395812</v>
      </c>
      <c r="G395" t="s">
        <v>2276</v>
      </c>
      <c r="H395">
        <v>382</v>
      </c>
      <c r="I395" t="s">
        <v>63</v>
      </c>
      <c r="J395">
        <v>5</v>
      </c>
      <c r="K395" t="str">
        <f>HYPERLINK("Gene2338-zp_tree_all.dnd", "Gene2338-tree")</f>
        <v>Gene2338-tree</v>
      </c>
      <c r="L395">
        <v>3</v>
      </c>
      <c r="M395">
        <v>2</v>
      </c>
      <c r="N395">
        <v>3</v>
      </c>
      <c r="O395">
        <v>2</v>
      </c>
      <c r="P395">
        <v>0.4</v>
      </c>
      <c r="Q395" t="s">
        <v>86</v>
      </c>
      <c r="R395" t="s">
        <v>124</v>
      </c>
      <c r="S395" t="s">
        <v>66</v>
      </c>
      <c r="T395" t="s">
        <v>66</v>
      </c>
      <c r="U395">
        <v>0</v>
      </c>
      <c r="V395">
        <v>0</v>
      </c>
      <c r="W395">
        <v>3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2</v>
      </c>
      <c r="AH395">
        <v>0</v>
      </c>
      <c r="AI395">
        <v>5</v>
      </c>
      <c r="AJ395">
        <v>2</v>
      </c>
      <c r="AK395">
        <v>30</v>
      </c>
      <c r="AL395">
        <v>2</v>
      </c>
      <c r="AM395">
        <v>29</v>
      </c>
      <c r="AN395">
        <v>1</v>
      </c>
      <c r="AO395" t="s">
        <v>2277</v>
      </c>
      <c r="AP395" t="s">
        <v>2278</v>
      </c>
      <c r="AQ395">
        <v>0.54300000000000004</v>
      </c>
      <c r="AR395" t="s">
        <v>69</v>
      </c>
      <c r="AS395">
        <v>59</v>
      </c>
      <c r="AT395">
        <v>3</v>
      </c>
      <c r="AU395">
        <v>2.5919999999999999E-2</v>
      </c>
      <c r="AV395">
        <v>-3.8899999999999998E-3</v>
      </c>
      <c r="AW395">
        <v>0.11992</v>
      </c>
      <c r="AX395">
        <v>-1.907E-2</v>
      </c>
      <c r="AY395">
        <v>1.58E-3</v>
      </c>
      <c r="AZ395">
        <v>-2.9E-4</v>
      </c>
      <c r="BA395">
        <v>1.32E-2</v>
      </c>
      <c r="BB395">
        <v>1</v>
      </c>
      <c r="BC395" t="s">
        <v>70</v>
      </c>
      <c r="BD395">
        <v>0.79300000000000004</v>
      </c>
      <c r="BE395">
        <v>0.25900000000000001</v>
      </c>
      <c r="BF395" t="s">
        <v>71</v>
      </c>
      <c r="BG395">
        <v>0.167701863354037</v>
      </c>
      <c r="BI395">
        <v>62</v>
      </c>
      <c r="BJ395">
        <v>1.32E-2</v>
      </c>
      <c r="BK395">
        <v>0.167701863354037</v>
      </c>
    </row>
    <row r="396" spans="1:63">
      <c r="A396">
        <v>2346</v>
      </c>
      <c r="B396" t="s">
        <v>2281</v>
      </c>
      <c r="D396" t="s">
        <v>66</v>
      </c>
      <c r="E396">
        <v>2402070</v>
      </c>
      <c r="F396">
        <v>2403350</v>
      </c>
      <c r="G396" t="s">
        <v>2283</v>
      </c>
      <c r="H396">
        <v>427</v>
      </c>
      <c r="I396" t="s">
        <v>63</v>
      </c>
      <c r="J396">
        <v>5</v>
      </c>
      <c r="K396" t="str">
        <f>HYPERLINK("Gene2346-zp_tree_all.dnd", "Gene2346-tree")</f>
        <v>Gene2346-tree</v>
      </c>
      <c r="L396">
        <v>4</v>
      </c>
      <c r="M396">
        <v>1</v>
      </c>
      <c r="N396">
        <v>3</v>
      </c>
      <c r="O396">
        <v>1</v>
      </c>
      <c r="P396">
        <v>0.25</v>
      </c>
      <c r="Q396" t="s">
        <v>112</v>
      </c>
      <c r="R396" t="s">
        <v>65</v>
      </c>
      <c r="S396" t="s">
        <v>66</v>
      </c>
      <c r="T396" t="s">
        <v>66</v>
      </c>
      <c r="U396">
        <v>0</v>
      </c>
      <c r="V396">
        <v>0</v>
      </c>
      <c r="W396">
        <v>4</v>
      </c>
      <c r="X396">
        <v>0</v>
      </c>
      <c r="Y396">
        <v>0</v>
      </c>
      <c r="Z396">
        <v>0</v>
      </c>
      <c r="AA396">
        <v>0</v>
      </c>
      <c r="AB396">
        <v>3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0</v>
      </c>
      <c r="AI396">
        <v>4</v>
      </c>
      <c r="AJ396">
        <v>1</v>
      </c>
      <c r="AK396">
        <v>26</v>
      </c>
      <c r="AL396">
        <v>1</v>
      </c>
      <c r="AM396">
        <v>30</v>
      </c>
      <c r="AN396">
        <v>3</v>
      </c>
      <c r="AO396" t="s">
        <v>2284</v>
      </c>
      <c r="AP396" t="s">
        <v>2285</v>
      </c>
      <c r="AQ396">
        <v>0.93400000000000005</v>
      </c>
      <c r="AR396" t="s">
        <v>69</v>
      </c>
      <c r="AS396">
        <v>56</v>
      </c>
      <c r="AT396">
        <v>4</v>
      </c>
      <c r="AU396">
        <v>2.7189999999999999E-2</v>
      </c>
      <c r="AV396">
        <v>-4.8199999999999996E-3</v>
      </c>
      <c r="AW396">
        <v>0.12126000000000001</v>
      </c>
      <c r="AX396">
        <v>-2.2069999999999999E-2</v>
      </c>
      <c r="AY396">
        <v>2.5600000000000002E-3</v>
      </c>
      <c r="AZ396">
        <v>-4.6000000000000001E-4</v>
      </c>
      <c r="BA396">
        <v>2.111E-2</v>
      </c>
      <c r="BB396">
        <v>1</v>
      </c>
      <c r="BC396" t="s">
        <v>70</v>
      </c>
      <c r="BD396">
        <v>0.92300000000000004</v>
      </c>
      <c r="BE396">
        <v>0.67400000000000004</v>
      </c>
      <c r="BF396" t="s">
        <v>71</v>
      </c>
      <c r="BG396">
        <v>0.16637478108581399</v>
      </c>
      <c r="BI396">
        <v>60</v>
      </c>
      <c r="BJ396">
        <v>2.111E-2</v>
      </c>
      <c r="BK396">
        <v>0.16637478108581399</v>
      </c>
    </row>
    <row r="397" spans="1:63">
      <c r="A397">
        <v>2347</v>
      </c>
      <c r="B397" t="s">
        <v>2286</v>
      </c>
      <c r="D397" t="s">
        <v>66</v>
      </c>
      <c r="E397">
        <v>2403509</v>
      </c>
      <c r="F397">
        <v>2404090</v>
      </c>
      <c r="G397" t="s">
        <v>2288</v>
      </c>
      <c r="H397">
        <v>194</v>
      </c>
      <c r="I397" t="s">
        <v>63</v>
      </c>
      <c r="J397">
        <v>5</v>
      </c>
      <c r="K397" t="str">
        <f>HYPERLINK("Gene2347-zp_tree_all.dnd", "Gene2347-tree")</f>
        <v>Gene2347-tree</v>
      </c>
      <c r="L397">
        <v>3</v>
      </c>
      <c r="M397">
        <v>2</v>
      </c>
      <c r="N397">
        <v>3</v>
      </c>
      <c r="O397">
        <v>2</v>
      </c>
      <c r="P397">
        <v>0.4</v>
      </c>
      <c r="Q397" t="s">
        <v>86</v>
      </c>
      <c r="R397" t="s">
        <v>124</v>
      </c>
      <c r="S397" t="s">
        <v>66</v>
      </c>
      <c r="T397" t="s">
        <v>66</v>
      </c>
      <c r="U397">
        <v>0</v>
      </c>
      <c r="V397">
        <v>0</v>
      </c>
      <c r="W397">
        <v>6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5</v>
      </c>
      <c r="AH397">
        <v>0</v>
      </c>
      <c r="AI397">
        <v>3</v>
      </c>
      <c r="AJ397">
        <v>2</v>
      </c>
      <c r="AK397">
        <v>5</v>
      </c>
      <c r="AL397">
        <v>6</v>
      </c>
      <c r="AM397">
        <v>14</v>
      </c>
      <c r="AN397">
        <v>1</v>
      </c>
      <c r="AO397" t="s">
        <v>2289</v>
      </c>
      <c r="AP397" t="s">
        <v>2290</v>
      </c>
      <c r="AQ397">
        <v>1.3009999999999999</v>
      </c>
      <c r="AR397" t="s">
        <v>69</v>
      </c>
      <c r="AS397">
        <v>19</v>
      </c>
      <c r="AT397">
        <v>7</v>
      </c>
      <c r="AU397">
        <v>2.2679999999999999E-2</v>
      </c>
      <c r="AV397">
        <v>-4.3200000000000001E-3</v>
      </c>
      <c r="AW397">
        <v>8.6690000000000003E-2</v>
      </c>
      <c r="AX397">
        <v>-1.7950000000000001E-2</v>
      </c>
      <c r="AY397">
        <v>6.6499999999999997E-3</v>
      </c>
      <c r="AZ397">
        <v>-1.7799999999999999E-3</v>
      </c>
      <c r="BA397">
        <v>7.6730000000000007E-2</v>
      </c>
      <c r="BB397">
        <v>1</v>
      </c>
      <c r="BC397" t="s">
        <v>70</v>
      </c>
      <c r="BD397">
        <v>0.74399999999999999</v>
      </c>
      <c r="BE397">
        <v>0.74399999999999999</v>
      </c>
      <c r="BF397" t="s">
        <v>71</v>
      </c>
      <c r="BG397">
        <v>0.109311740890688</v>
      </c>
      <c r="BI397">
        <v>26</v>
      </c>
      <c r="BJ397">
        <v>7.6730000000000007E-2</v>
      </c>
      <c r="BK397">
        <v>0.109311740890688</v>
      </c>
    </row>
    <row r="398" spans="1:63">
      <c r="A398">
        <v>2360</v>
      </c>
      <c r="B398" t="s">
        <v>2296</v>
      </c>
      <c r="D398" t="s">
        <v>66</v>
      </c>
      <c r="E398">
        <v>2414630</v>
      </c>
      <c r="F398">
        <v>2415211</v>
      </c>
      <c r="G398" t="s">
        <v>2298</v>
      </c>
      <c r="H398">
        <v>194</v>
      </c>
      <c r="I398" t="s">
        <v>63</v>
      </c>
      <c r="J398">
        <v>5</v>
      </c>
      <c r="K398" t="str">
        <f>HYPERLINK("Gene2360-zp_tree_all.dnd", "Gene2360-tree")</f>
        <v>Gene2360-tree</v>
      </c>
      <c r="L398">
        <v>5</v>
      </c>
      <c r="M398">
        <v>0</v>
      </c>
      <c r="N398">
        <v>5</v>
      </c>
      <c r="O398">
        <v>0</v>
      </c>
      <c r="P398">
        <v>0</v>
      </c>
      <c r="Q398" t="s">
        <v>96</v>
      </c>
      <c r="R398" t="s">
        <v>66</v>
      </c>
      <c r="S398" t="s">
        <v>66</v>
      </c>
      <c r="T398" t="s">
        <v>66</v>
      </c>
      <c r="U398">
        <v>0</v>
      </c>
      <c r="V398">
        <v>0</v>
      </c>
      <c r="W398">
        <v>3</v>
      </c>
      <c r="X398">
        <v>0</v>
      </c>
      <c r="Y398">
        <v>0</v>
      </c>
      <c r="Z398">
        <v>0</v>
      </c>
      <c r="AA398">
        <v>0</v>
      </c>
      <c r="AB398">
        <v>3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4</v>
      </c>
      <c r="AJ398">
        <v>2</v>
      </c>
      <c r="AK398">
        <v>11</v>
      </c>
      <c r="AL398">
        <v>0</v>
      </c>
      <c r="AM398">
        <v>15</v>
      </c>
      <c r="AN398">
        <v>3</v>
      </c>
      <c r="AO398" t="s">
        <v>68</v>
      </c>
      <c r="AP398" t="s">
        <v>2299</v>
      </c>
      <c r="AQ398">
        <v>1.0249999999999999</v>
      </c>
      <c r="AR398" t="s">
        <v>69</v>
      </c>
      <c r="AS398">
        <v>26</v>
      </c>
      <c r="AT398">
        <v>3</v>
      </c>
      <c r="AU398">
        <v>2.5090000000000001E-2</v>
      </c>
      <c r="AV398">
        <v>-4.3600000000000002E-3</v>
      </c>
      <c r="AW398">
        <v>0.11387</v>
      </c>
      <c r="AX398">
        <v>-1.9189999999999999E-2</v>
      </c>
      <c r="AY398">
        <v>3.9399999999999999E-3</v>
      </c>
      <c r="AZ398">
        <v>-9.3999999999999997E-4</v>
      </c>
      <c r="BA398">
        <v>3.4639999999999997E-2</v>
      </c>
      <c r="BB398">
        <v>1</v>
      </c>
      <c r="BC398" t="s">
        <v>70</v>
      </c>
      <c r="BD398">
        <v>0.94399999999999995</v>
      </c>
      <c r="BE398">
        <v>0.48299999999999998</v>
      </c>
      <c r="BF398" t="s">
        <v>71</v>
      </c>
      <c r="BG398">
        <v>0.131914893617021</v>
      </c>
      <c r="BI398">
        <v>29</v>
      </c>
      <c r="BJ398">
        <v>3.4639999999999997E-2</v>
      </c>
      <c r="BK398">
        <v>0.131914893617021</v>
      </c>
    </row>
    <row r="399" spans="1:63">
      <c r="A399">
        <v>2365</v>
      </c>
      <c r="B399" t="s">
        <v>2300</v>
      </c>
      <c r="D399" t="s">
        <v>66</v>
      </c>
      <c r="E399">
        <v>2420807</v>
      </c>
      <c r="F399">
        <v>2421343</v>
      </c>
      <c r="G399" t="s">
        <v>2302</v>
      </c>
      <c r="H399">
        <v>179</v>
      </c>
      <c r="I399" t="s">
        <v>63</v>
      </c>
      <c r="J399">
        <v>5</v>
      </c>
      <c r="K399" t="str">
        <f>HYPERLINK("Gene2365-zp_tree_all.dnd", "Gene2365-tree")</f>
        <v>Gene2365-tree</v>
      </c>
      <c r="L399">
        <v>3</v>
      </c>
      <c r="M399">
        <v>2</v>
      </c>
      <c r="N399">
        <v>2</v>
      </c>
      <c r="O399">
        <v>2</v>
      </c>
      <c r="P399">
        <v>0.5</v>
      </c>
      <c r="Q399" t="s">
        <v>185</v>
      </c>
      <c r="R399" t="s">
        <v>124</v>
      </c>
      <c r="S399" t="s">
        <v>66</v>
      </c>
      <c r="T399" t="s">
        <v>66</v>
      </c>
      <c r="U399">
        <v>0</v>
      </c>
      <c r="V399">
        <v>0</v>
      </c>
      <c r="W399">
        <v>3</v>
      </c>
      <c r="X399">
        <v>0</v>
      </c>
      <c r="Y399">
        <v>0</v>
      </c>
      <c r="Z399">
        <v>0</v>
      </c>
      <c r="AA399">
        <v>0</v>
      </c>
      <c r="AB399">
        <v>1</v>
      </c>
      <c r="AC399">
        <v>0</v>
      </c>
      <c r="AD399">
        <v>0</v>
      </c>
      <c r="AE399">
        <v>0</v>
      </c>
      <c r="AF399">
        <v>0</v>
      </c>
      <c r="AG399">
        <v>2</v>
      </c>
      <c r="AH399">
        <v>0</v>
      </c>
      <c r="AI399">
        <v>4</v>
      </c>
      <c r="AJ399">
        <v>1</v>
      </c>
      <c r="AK399">
        <v>8</v>
      </c>
      <c r="AL399">
        <v>2</v>
      </c>
      <c r="AM399">
        <v>11</v>
      </c>
      <c r="AN399">
        <v>2</v>
      </c>
      <c r="AO399" t="s">
        <v>2303</v>
      </c>
      <c r="AP399" t="s">
        <v>2304</v>
      </c>
      <c r="AQ399">
        <v>0.49</v>
      </c>
      <c r="AR399" t="s">
        <v>69</v>
      </c>
      <c r="AS399">
        <v>19</v>
      </c>
      <c r="AT399">
        <v>4</v>
      </c>
      <c r="AU399">
        <v>2.4830000000000001E-2</v>
      </c>
      <c r="AV399">
        <v>-4.7000000000000002E-3</v>
      </c>
      <c r="AW399">
        <v>9.8659999999999998E-2</v>
      </c>
      <c r="AX399">
        <v>-1.949E-2</v>
      </c>
      <c r="AY399">
        <v>5.6299999999999996E-3</v>
      </c>
      <c r="AZ399">
        <v>-1.09E-3</v>
      </c>
      <c r="BA399">
        <v>5.7079999999999999E-2</v>
      </c>
      <c r="BB399">
        <v>1</v>
      </c>
      <c r="BC399" t="s">
        <v>70</v>
      </c>
      <c r="BD399">
        <v>0.73</v>
      </c>
      <c r="BE399">
        <v>0.73</v>
      </c>
      <c r="BF399" t="s">
        <v>71</v>
      </c>
      <c r="BG399">
        <v>0.113043478260869</v>
      </c>
      <c r="BI399">
        <v>23</v>
      </c>
      <c r="BJ399">
        <v>5.7079999999999999E-2</v>
      </c>
      <c r="BK399">
        <v>0.113043478260869</v>
      </c>
    </row>
    <row r="400" spans="1:63">
      <c r="A400">
        <v>2370</v>
      </c>
      <c r="B400" t="s">
        <v>2308</v>
      </c>
      <c r="D400" t="s">
        <v>66</v>
      </c>
      <c r="E400">
        <v>2424657</v>
      </c>
      <c r="F400">
        <v>2425193</v>
      </c>
      <c r="G400" t="s">
        <v>74</v>
      </c>
      <c r="H400">
        <v>179</v>
      </c>
      <c r="I400" t="s">
        <v>63</v>
      </c>
      <c r="J400">
        <v>5</v>
      </c>
      <c r="K400" t="str">
        <f>HYPERLINK("Gene2370-zp_tree_all.dnd", "Gene2370-tree")</f>
        <v>Gene2370-tree</v>
      </c>
      <c r="L400">
        <v>0</v>
      </c>
      <c r="M400">
        <v>5</v>
      </c>
      <c r="N400">
        <v>0</v>
      </c>
      <c r="O400">
        <v>4</v>
      </c>
      <c r="P400">
        <v>1</v>
      </c>
      <c r="Q400" t="s">
        <v>66</v>
      </c>
      <c r="R400" t="s">
        <v>135</v>
      </c>
      <c r="S400">
        <v>3.1949999999999998</v>
      </c>
      <c r="T400" t="s">
        <v>69</v>
      </c>
      <c r="U400">
        <v>0</v>
      </c>
      <c r="V400">
        <v>0</v>
      </c>
      <c r="W400">
        <v>5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5</v>
      </c>
      <c r="AH400">
        <v>0</v>
      </c>
      <c r="AI400">
        <v>3</v>
      </c>
      <c r="AJ400">
        <v>1</v>
      </c>
      <c r="AK400">
        <v>8</v>
      </c>
      <c r="AL400">
        <v>3</v>
      </c>
      <c r="AM400">
        <v>7</v>
      </c>
      <c r="AN400">
        <v>2</v>
      </c>
      <c r="AO400" t="s">
        <v>2310</v>
      </c>
      <c r="AP400" t="s">
        <v>2311</v>
      </c>
      <c r="AQ400">
        <v>13.819000000000001</v>
      </c>
      <c r="AR400" t="s">
        <v>239</v>
      </c>
      <c r="AS400">
        <v>15</v>
      </c>
      <c r="AT400">
        <v>5</v>
      </c>
      <c r="AU400">
        <v>2.1420000000000002E-2</v>
      </c>
      <c r="AV400">
        <v>-3.5300000000000002E-3</v>
      </c>
      <c r="AW400">
        <v>7.8100000000000003E-2</v>
      </c>
      <c r="AX400">
        <v>-1.354E-2</v>
      </c>
      <c r="AY400">
        <v>6.7999999999999996E-3</v>
      </c>
      <c r="AZ400">
        <v>-1.0499999999999999E-3</v>
      </c>
      <c r="BA400">
        <v>8.702E-2</v>
      </c>
      <c r="BB400">
        <v>1</v>
      </c>
      <c r="BC400" t="s">
        <v>70</v>
      </c>
      <c r="BD400">
        <v>0.154</v>
      </c>
      <c r="BE400">
        <v>0.154</v>
      </c>
      <c r="BF400" t="s">
        <v>71</v>
      </c>
      <c r="BG400">
        <v>0.154471544715447</v>
      </c>
      <c r="BI400">
        <v>20</v>
      </c>
      <c r="BJ400">
        <v>8.702E-2</v>
      </c>
      <c r="BK400">
        <v>0.154471544715447</v>
      </c>
    </row>
    <row r="401" spans="1:63">
      <c r="A401">
        <v>2371</v>
      </c>
      <c r="B401" t="s">
        <v>2312</v>
      </c>
      <c r="D401" t="s">
        <v>66</v>
      </c>
      <c r="E401">
        <v>2425251</v>
      </c>
      <c r="F401">
        <v>2425841</v>
      </c>
      <c r="G401" t="s">
        <v>2314</v>
      </c>
      <c r="H401">
        <v>197</v>
      </c>
      <c r="I401" t="s">
        <v>85</v>
      </c>
      <c r="J401">
        <v>4</v>
      </c>
      <c r="K401" t="str">
        <f>HYPERLINK("Gene2371-zp_tree_all.dnd", "Gene2371-tree")</f>
        <v>Gene2371-tree</v>
      </c>
      <c r="L401">
        <v>3</v>
      </c>
      <c r="M401">
        <v>1</v>
      </c>
      <c r="N401">
        <v>3</v>
      </c>
      <c r="O401">
        <v>1</v>
      </c>
      <c r="P401">
        <v>0.25</v>
      </c>
      <c r="Q401" t="s">
        <v>86</v>
      </c>
      <c r="R401" t="s">
        <v>65</v>
      </c>
      <c r="S401" t="s">
        <v>66</v>
      </c>
      <c r="T401" t="s">
        <v>66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</v>
      </c>
      <c r="AH401">
        <v>0</v>
      </c>
      <c r="AI401">
        <v>4</v>
      </c>
      <c r="AJ401">
        <v>1</v>
      </c>
      <c r="AK401">
        <v>30</v>
      </c>
      <c r="AL401">
        <v>1</v>
      </c>
      <c r="AM401">
        <v>1</v>
      </c>
      <c r="AN401">
        <v>0</v>
      </c>
      <c r="AO401" t="s">
        <v>2315</v>
      </c>
      <c r="AP401" t="s">
        <v>68</v>
      </c>
      <c r="AQ401">
        <v>0.375</v>
      </c>
      <c r="AR401" t="s">
        <v>69</v>
      </c>
      <c r="AS401">
        <v>31</v>
      </c>
      <c r="AT401">
        <v>1</v>
      </c>
      <c r="AU401">
        <v>2.623E-2</v>
      </c>
      <c r="AV401">
        <v>-9.3399999999999993E-3</v>
      </c>
      <c r="AW401">
        <v>0.12385</v>
      </c>
      <c r="AX401">
        <v>-4.6690000000000002E-2</v>
      </c>
      <c r="AY401">
        <v>1.1100000000000001E-3</v>
      </c>
      <c r="AZ401">
        <v>-4.0999999999999999E-4</v>
      </c>
      <c r="BA401">
        <v>8.9700000000000005E-3</v>
      </c>
      <c r="BB401">
        <v>1</v>
      </c>
      <c r="BC401" t="s">
        <v>70</v>
      </c>
      <c r="BD401">
        <v>-0.54600000000000004</v>
      </c>
      <c r="BE401">
        <v>-0.86099999999999999</v>
      </c>
      <c r="BF401" t="s">
        <v>71</v>
      </c>
      <c r="BG401">
        <v>0.13533834586466101</v>
      </c>
      <c r="BI401">
        <v>32</v>
      </c>
      <c r="BJ401">
        <v>8.9700000000000005E-3</v>
      </c>
      <c r="BK401">
        <v>0.13533834586466101</v>
      </c>
    </row>
    <row r="402" spans="1:63">
      <c r="A402">
        <v>2372</v>
      </c>
      <c r="B402" t="s">
        <v>2316</v>
      </c>
      <c r="D402" t="s">
        <v>66</v>
      </c>
      <c r="E402">
        <v>2425834</v>
      </c>
      <c r="F402">
        <v>2426586</v>
      </c>
      <c r="G402" t="s">
        <v>2318</v>
      </c>
      <c r="H402">
        <v>251</v>
      </c>
      <c r="I402" t="s">
        <v>63</v>
      </c>
      <c r="J402">
        <v>5</v>
      </c>
      <c r="K402" t="str">
        <f>HYPERLINK("Gene2372-zp_tree_all.dnd", "Gene2372-tree")</f>
        <v>Gene2372-tree</v>
      </c>
      <c r="L402">
        <v>2</v>
      </c>
      <c r="M402">
        <v>3</v>
      </c>
      <c r="N402">
        <v>2</v>
      </c>
      <c r="O402">
        <v>3</v>
      </c>
      <c r="P402">
        <v>0.6</v>
      </c>
      <c r="Q402" t="s">
        <v>124</v>
      </c>
      <c r="R402" t="s">
        <v>86</v>
      </c>
      <c r="S402" t="s">
        <v>66</v>
      </c>
      <c r="T402" t="s">
        <v>66</v>
      </c>
      <c r="U402">
        <v>0</v>
      </c>
      <c r="V402">
        <v>0</v>
      </c>
      <c r="W402">
        <v>7</v>
      </c>
      <c r="X402">
        <v>0</v>
      </c>
      <c r="Y402">
        <v>0</v>
      </c>
      <c r="Z402">
        <v>0</v>
      </c>
      <c r="AA402">
        <v>0</v>
      </c>
      <c r="AB402">
        <v>5</v>
      </c>
      <c r="AC402">
        <v>0</v>
      </c>
      <c r="AD402">
        <v>0</v>
      </c>
      <c r="AE402">
        <v>0</v>
      </c>
      <c r="AF402">
        <v>0</v>
      </c>
      <c r="AG402">
        <v>2</v>
      </c>
      <c r="AH402">
        <v>0</v>
      </c>
      <c r="AI402">
        <v>4</v>
      </c>
      <c r="AJ402">
        <v>2</v>
      </c>
      <c r="AK402">
        <v>12</v>
      </c>
      <c r="AL402">
        <v>2</v>
      </c>
      <c r="AM402">
        <v>20</v>
      </c>
      <c r="AN402">
        <v>5</v>
      </c>
      <c r="AO402" t="s">
        <v>2319</v>
      </c>
      <c r="AP402" t="s">
        <v>2320</v>
      </c>
      <c r="AQ402">
        <v>0.26800000000000002</v>
      </c>
      <c r="AR402" t="s">
        <v>69</v>
      </c>
      <c r="AS402">
        <v>32</v>
      </c>
      <c r="AT402">
        <v>7</v>
      </c>
      <c r="AU402">
        <v>2.7359999999999999E-2</v>
      </c>
      <c r="AV402">
        <v>-5.1599999999999997E-3</v>
      </c>
      <c r="AW402">
        <v>0.11654</v>
      </c>
      <c r="AX402">
        <v>-2.3210000000000001E-2</v>
      </c>
      <c r="AY402">
        <v>6.45E-3</v>
      </c>
      <c r="AZ402">
        <v>-1.1999999999999999E-3</v>
      </c>
      <c r="BA402">
        <v>5.5329999999999997E-2</v>
      </c>
      <c r="BB402">
        <v>1</v>
      </c>
      <c r="BC402" t="s">
        <v>70</v>
      </c>
      <c r="BD402">
        <v>0.755</v>
      </c>
      <c r="BE402">
        <v>0.755</v>
      </c>
      <c r="BF402" t="s">
        <v>71</v>
      </c>
      <c r="BG402">
        <v>0.15409836065573701</v>
      </c>
      <c r="BI402">
        <v>39</v>
      </c>
      <c r="BJ402">
        <v>5.5329999999999997E-2</v>
      </c>
      <c r="BK402">
        <v>0.15409836065573701</v>
      </c>
    </row>
    <row r="403" spans="1:63">
      <c r="A403">
        <v>2374</v>
      </c>
      <c r="B403" t="s">
        <v>2321</v>
      </c>
      <c r="D403" t="s">
        <v>66</v>
      </c>
      <c r="E403">
        <v>2427408</v>
      </c>
      <c r="F403">
        <v>2427779</v>
      </c>
      <c r="G403" t="s">
        <v>2323</v>
      </c>
      <c r="H403">
        <v>124</v>
      </c>
      <c r="I403" t="s">
        <v>63</v>
      </c>
      <c r="J403">
        <v>5</v>
      </c>
      <c r="K403" t="str">
        <f>HYPERLINK("Gene2374-zp_tree_all.dnd", "Gene2374-tree")</f>
        <v>Gene2374-tree</v>
      </c>
      <c r="L403">
        <v>5</v>
      </c>
      <c r="M403">
        <v>0</v>
      </c>
      <c r="N403">
        <v>4</v>
      </c>
      <c r="O403">
        <v>0</v>
      </c>
      <c r="P403">
        <v>0</v>
      </c>
      <c r="Q403" t="s">
        <v>135</v>
      </c>
      <c r="R403" t="s">
        <v>66</v>
      </c>
      <c r="S403" t="s">
        <v>66</v>
      </c>
      <c r="T403" t="s">
        <v>66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3</v>
      </c>
      <c r="AJ403">
        <v>1</v>
      </c>
      <c r="AK403">
        <v>6</v>
      </c>
      <c r="AL403">
        <v>0</v>
      </c>
      <c r="AM403">
        <v>3</v>
      </c>
      <c r="AN403">
        <v>0</v>
      </c>
      <c r="AO403" t="s">
        <v>68</v>
      </c>
      <c r="AP403" t="s">
        <v>68</v>
      </c>
      <c r="AQ403">
        <v>0</v>
      </c>
      <c r="AR403" t="s">
        <v>69</v>
      </c>
      <c r="AS403">
        <v>9</v>
      </c>
      <c r="AT403">
        <v>0</v>
      </c>
      <c r="AU403">
        <v>1.3440000000000001E-2</v>
      </c>
      <c r="AV403">
        <v>-2.0999999999999999E-3</v>
      </c>
      <c r="AW403">
        <v>7.2709999999999997E-2</v>
      </c>
      <c r="AX403">
        <v>-1.157E-2</v>
      </c>
      <c r="AY403">
        <v>0</v>
      </c>
      <c r="AZ403">
        <v>0</v>
      </c>
      <c r="BA403">
        <v>0</v>
      </c>
      <c r="BB403">
        <v>1</v>
      </c>
      <c r="BC403" t="s">
        <v>70</v>
      </c>
      <c r="BD403">
        <v>-0.19700000000000001</v>
      </c>
      <c r="BE403">
        <v>-0.19700000000000001</v>
      </c>
      <c r="BF403" t="s">
        <v>71</v>
      </c>
      <c r="BG403">
        <v>0.112582781456953</v>
      </c>
      <c r="BI403">
        <v>9</v>
      </c>
      <c r="BJ403">
        <v>0</v>
      </c>
      <c r="BK403">
        <v>0.112582781456953</v>
      </c>
    </row>
    <row r="404" spans="1:63">
      <c r="A404">
        <v>2375</v>
      </c>
      <c r="B404" t="s">
        <v>2324</v>
      </c>
      <c r="D404" t="s">
        <v>66</v>
      </c>
      <c r="E404">
        <v>2427895</v>
      </c>
      <c r="F404">
        <v>2428356</v>
      </c>
      <c r="G404" t="s">
        <v>2326</v>
      </c>
      <c r="H404">
        <v>154</v>
      </c>
      <c r="I404" t="s">
        <v>63</v>
      </c>
      <c r="J404">
        <v>5</v>
      </c>
      <c r="K404" t="str">
        <f>HYPERLINK("Gene2375-zp_tree_all.dnd", "Gene2375-tree")</f>
        <v>Gene2375-tree</v>
      </c>
      <c r="L404">
        <v>5</v>
      </c>
      <c r="M404">
        <v>0</v>
      </c>
      <c r="N404">
        <v>5</v>
      </c>
      <c r="O404">
        <v>0</v>
      </c>
      <c r="P404">
        <v>0</v>
      </c>
      <c r="Q404" t="s">
        <v>96</v>
      </c>
      <c r="R404" t="s">
        <v>66</v>
      </c>
      <c r="S404" t="s">
        <v>66</v>
      </c>
      <c r="T404" t="s">
        <v>66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4</v>
      </c>
      <c r="AJ404">
        <v>2</v>
      </c>
      <c r="AK404">
        <v>12</v>
      </c>
      <c r="AL404">
        <v>0</v>
      </c>
      <c r="AM404">
        <v>11</v>
      </c>
      <c r="AN404">
        <v>0</v>
      </c>
      <c r="AO404" t="s">
        <v>68</v>
      </c>
      <c r="AP404" t="s">
        <v>68</v>
      </c>
      <c r="AQ404">
        <v>0</v>
      </c>
      <c r="AR404" t="s">
        <v>69</v>
      </c>
      <c r="AS404">
        <v>23</v>
      </c>
      <c r="AT404">
        <v>0</v>
      </c>
      <c r="AU404">
        <v>2.4240000000000001E-2</v>
      </c>
      <c r="AV404">
        <v>-4.47E-3</v>
      </c>
      <c r="AW404">
        <v>0.11341</v>
      </c>
      <c r="AX404">
        <v>-2.1499999999999998E-2</v>
      </c>
      <c r="AY404">
        <v>0</v>
      </c>
      <c r="AZ404">
        <v>0</v>
      </c>
      <c r="BA404">
        <v>0</v>
      </c>
      <c r="BB404">
        <v>1</v>
      </c>
      <c r="BC404" t="s">
        <v>70</v>
      </c>
      <c r="BD404">
        <v>0.44900000000000001</v>
      </c>
      <c r="BE404">
        <v>0.44900000000000001</v>
      </c>
      <c r="BF404" t="s">
        <v>71</v>
      </c>
      <c r="BG404">
        <v>0.13131313131313099</v>
      </c>
      <c r="BI404">
        <v>23</v>
      </c>
      <c r="BJ404">
        <v>0</v>
      </c>
      <c r="BK404">
        <v>0.13131313131313099</v>
      </c>
    </row>
    <row r="405" spans="1:63">
      <c r="A405">
        <v>2376</v>
      </c>
      <c r="B405" t="s">
        <v>2327</v>
      </c>
      <c r="D405" t="s">
        <v>66</v>
      </c>
      <c r="E405">
        <v>2428392</v>
      </c>
      <c r="F405">
        <v>2429585</v>
      </c>
      <c r="G405" t="s">
        <v>2329</v>
      </c>
      <c r="H405">
        <v>398</v>
      </c>
      <c r="I405" t="s">
        <v>85</v>
      </c>
      <c r="J405">
        <v>4</v>
      </c>
      <c r="K405" t="str">
        <f>HYPERLINK("Gene2376-zp_tree_all.dnd", "Gene2376-tree")</f>
        <v>Gene2376-tree</v>
      </c>
      <c r="L405">
        <v>2</v>
      </c>
      <c r="M405">
        <v>2</v>
      </c>
      <c r="N405">
        <v>2</v>
      </c>
      <c r="O405">
        <v>2</v>
      </c>
      <c r="P405">
        <v>0.5</v>
      </c>
      <c r="Q405" t="s">
        <v>124</v>
      </c>
      <c r="R405" t="s">
        <v>124</v>
      </c>
      <c r="S405" t="s">
        <v>66</v>
      </c>
      <c r="T405" t="s">
        <v>66</v>
      </c>
      <c r="U405">
        <v>0</v>
      </c>
      <c r="V405">
        <v>0</v>
      </c>
      <c r="W405">
        <v>7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7</v>
      </c>
      <c r="AH405">
        <v>0</v>
      </c>
      <c r="AI405">
        <v>4</v>
      </c>
      <c r="AJ405">
        <v>1</v>
      </c>
      <c r="AK405">
        <v>59</v>
      </c>
      <c r="AL405">
        <v>7</v>
      </c>
      <c r="AM405">
        <v>2</v>
      </c>
      <c r="AN405">
        <v>0</v>
      </c>
      <c r="AO405" t="s">
        <v>2330</v>
      </c>
      <c r="AP405" t="s">
        <v>68</v>
      </c>
      <c r="AQ405">
        <v>0.63</v>
      </c>
      <c r="AR405" t="s">
        <v>69</v>
      </c>
      <c r="AS405">
        <v>61</v>
      </c>
      <c r="AT405">
        <v>7</v>
      </c>
      <c r="AU405">
        <v>2.8479999999999998E-2</v>
      </c>
      <c r="AV405">
        <v>-8.2199999999999999E-3</v>
      </c>
      <c r="AW405">
        <v>0.12579000000000001</v>
      </c>
      <c r="AX405">
        <v>-3.8269999999999998E-2</v>
      </c>
      <c r="AY405">
        <v>3.82E-3</v>
      </c>
      <c r="AZ405">
        <v>-1.06E-3</v>
      </c>
      <c r="BA405">
        <v>3.04E-2</v>
      </c>
      <c r="BB405">
        <v>1</v>
      </c>
      <c r="BC405" t="s">
        <v>70</v>
      </c>
      <c r="BD405">
        <v>-0.72699999999999998</v>
      </c>
      <c r="BE405">
        <v>-0.72699999999999998</v>
      </c>
      <c r="BF405" t="s">
        <v>71</v>
      </c>
      <c r="BG405">
        <v>9.4202898550724598E-2</v>
      </c>
      <c r="BI405">
        <v>68</v>
      </c>
      <c r="BJ405">
        <v>3.04E-2</v>
      </c>
      <c r="BK405">
        <v>9.4202898550724598E-2</v>
      </c>
    </row>
    <row r="406" spans="1:63">
      <c r="A406">
        <v>2377</v>
      </c>
      <c r="B406" t="s">
        <v>2331</v>
      </c>
      <c r="D406" t="s">
        <v>66</v>
      </c>
      <c r="E406">
        <v>2429603</v>
      </c>
      <c r="F406">
        <v>2430247</v>
      </c>
      <c r="G406" t="s">
        <v>2333</v>
      </c>
      <c r="H406">
        <v>215</v>
      </c>
      <c r="I406" t="s">
        <v>63</v>
      </c>
      <c r="J406">
        <v>5</v>
      </c>
      <c r="K406" t="str">
        <f>HYPERLINK("Gene2377-zp_tree_all.dnd", "Gene2377-tree")</f>
        <v>Gene2377-tree</v>
      </c>
      <c r="L406">
        <v>1</v>
      </c>
      <c r="M406">
        <v>4</v>
      </c>
      <c r="N406">
        <v>1</v>
      </c>
      <c r="O406">
        <v>4</v>
      </c>
      <c r="P406">
        <v>0.8</v>
      </c>
      <c r="Q406" t="s">
        <v>65</v>
      </c>
      <c r="R406" t="s">
        <v>64</v>
      </c>
      <c r="S406" t="s">
        <v>66</v>
      </c>
      <c r="T406" t="s">
        <v>66</v>
      </c>
      <c r="U406">
        <v>0</v>
      </c>
      <c r="V406">
        <v>0</v>
      </c>
      <c r="W406">
        <v>10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10</v>
      </c>
      <c r="AH406">
        <v>0</v>
      </c>
      <c r="AI406">
        <v>4</v>
      </c>
      <c r="AJ406">
        <v>2</v>
      </c>
      <c r="AK406">
        <v>12</v>
      </c>
      <c r="AL406">
        <v>9</v>
      </c>
      <c r="AM406">
        <v>20</v>
      </c>
      <c r="AN406">
        <v>1</v>
      </c>
      <c r="AO406" t="s">
        <v>2334</v>
      </c>
      <c r="AP406" t="s">
        <v>2335</v>
      </c>
      <c r="AQ406">
        <v>3.5739999999999998</v>
      </c>
      <c r="AR406" t="s">
        <v>239</v>
      </c>
      <c r="AS406">
        <v>32</v>
      </c>
      <c r="AT406">
        <v>10</v>
      </c>
      <c r="AU406">
        <v>3.2250000000000001E-2</v>
      </c>
      <c r="AV406">
        <v>-5.5199999999999997E-3</v>
      </c>
      <c r="AW406">
        <v>0.12937000000000001</v>
      </c>
      <c r="AX406">
        <v>-2.495E-2</v>
      </c>
      <c r="AY406">
        <v>8.4399999999999996E-3</v>
      </c>
      <c r="AZ406">
        <v>-1.2999999999999999E-3</v>
      </c>
      <c r="BA406">
        <v>6.5250000000000002E-2</v>
      </c>
      <c r="BB406">
        <v>1</v>
      </c>
      <c r="BC406" t="s">
        <v>70</v>
      </c>
      <c r="BD406">
        <v>0.42799999999999999</v>
      </c>
      <c r="BE406">
        <v>0.42799999999999999</v>
      </c>
      <c r="BF406" t="s">
        <v>71</v>
      </c>
      <c r="BG406">
        <v>5.3846153846153801E-2</v>
      </c>
      <c r="BI406">
        <v>42</v>
      </c>
      <c r="BJ406">
        <v>6.5250000000000002E-2</v>
      </c>
      <c r="BK406">
        <v>5.3846153846153801E-2</v>
      </c>
    </row>
    <row r="407" spans="1:63">
      <c r="A407">
        <v>2379</v>
      </c>
      <c r="B407" t="s">
        <v>2336</v>
      </c>
      <c r="D407" t="s">
        <v>66</v>
      </c>
      <c r="E407">
        <v>2431740</v>
      </c>
      <c r="F407">
        <v>2432081</v>
      </c>
      <c r="G407" t="s">
        <v>74</v>
      </c>
      <c r="H407">
        <v>114</v>
      </c>
      <c r="I407" t="s">
        <v>63</v>
      </c>
      <c r="J407">
        <v>5</v>
      </c>
      <c r="K407" t="str">
        <f>HYPERLINK("Gene2379-zp_tree_all.dnd", "Gene2379-tree")</f>
        <v>Gene2379-tree</v>
      </c>
      <c r="L407">
        <v>2</v>
      </c>
      <c r="M407">
        <v>3</v>
      </c>
      <c r="N407">
        <v>2</v>
      </c>
      <c r="O407">
        <v>3</v>
      </c>
      <c r="P407">
        <v>0.6</v>
      </c>
      <c r="Q407" t="s">
        <v>124</v>
      </c>
      <c r="R407" t="s">
        <v>86</v>
      </c>
      <c r="S407" t="s">
        <v>66</v>
      </c>
      <c r="T407" t="s">
        <v>66</v>
      </c>
      <c r="U407">
        <v>1</v>
      </c>
      <c r="V407">
        <v>2</v>
      </c>
      <c r="W407">
        <v>2</v>
      </c>
      <c r="X407">
        <v>0.5</v>
      </c>
      <c r="Y407">
        <v>0</v>
      </c>
      <c r="Z407">
        <v>0</v>
      </c>
      <c r="AA407">
        <v>0</v>
      </c>
      <c r="AB407">
        <v>2</v>
      </c>
      <c r="AC407">
        <v>0</v>
      </c>
      <c r="AD407">
        <v>0</v>
      </c>
      <c r="AE407">
        <v>0</v>
      </c>
      <c r="AF407">
        <v>0</v>
      </c>
      <c r="AG407">
        <v>2</v>
      </c>
      <c r="AH407">
        <v>0</v>
      </c>
      <c r="AI407">
        <v>3</v>
      </c>
      <c r="AJ407">
        <v>1</v>
      </c>
      <c r="AK407">
        <v>6</v>
      </c>
      <c r="AL407">
        <v>2</v>
      </c>
      <c r="AM407">
        <v>5</v>
      </c>
      <c r="AN407">
        <v>2</v>
      </c>
      <c r="AO407" t="s">
        <v>2338</v>
      </c>
      <c r="AP407" t="s">
        <v>2339</v>
      </c>
      <c r="AQ407">
        <v>0.308</v>
      </c>
      <c r="AR407" t="s">
        <v>69</v>
      </c>
      <c r="AS407">
        <v>11</v>
      </c>
      <c r="AT407">
        <v>4</v>
      </c>
      <c r="AU407">
        <v>2.0760000000000001E-2</v>
      </c>
      <c r="AV407">
        <v>-3.3999999999999998E-3</v>
      </c>
      <c r="AW407">
        <v>7.1410000000000001E-2</v>
      </c>
      <c r="AX407">
        <v>-1.329E-2</v>
      </c>
      <c r="AY407">
        <v>7.5700000000000003E-3</v>
      </c>
      <c r="AZ407">
        <v>-9.3000000000000005E-4</v>
      </c>
      <c r="BA407">
        <v>0.10598</v>
      </c>
      <c r="BB407">
        <v>1</v>
      </c>
      <c r="BC407" t="s">
        <v>70</v>
      </c>
      <c r="BD407">
        <v>0.41199999999999998</v>
      </c>
      <c r="BE407">
        <v>-0.13</v>
      </c>
      <c r="BF407" t="s">
        <v>71</v>
      </c>
      <c r="BG407">
        <v>0.1875</v>
      </c>
      <c r="BI407">
        <v>15</v>
      </c>
      <c r="BJ407">
        <v>0.10598</v>
      </c>
      <c r="BK407">
        <v>0.1875</v>
      </c>
    </row>
    <row r="408" spans="1:63">
      <c r="A408">
        <v>2385</v>
      </c>
      <c r="B408" t="s">
        <v>2340</v>
      </c>
      <c r="D408" t="s">
        <v>66</v>
      </c>
      <c r="E408">
        <v>2435363</v>
      </c>
      <c r="F408">
        <v>2435791</v>
      </c>
      <c r="G408" t="s">
        <v>2342</v>
      </c>
      <c r="H408">
        <v>143</v>
      </c>
      <c r="I408" t="s">
        <v>85</v>
      </c>
      <c r="J408">
        <v>4</v>
      </c>
      <c r="K408" t="str">
        <f>HYPERLINK("Gene2385-zp_tree_all.dnd", "Gene2385-tree")</f>
        <v>Gene2385-tree</v>
      </c>
      <c r="L408">
        <v>3</v>
      </c>
      <c r="M408">
        <v>1</v>
      </c>
      <c r="N408">
        <v>3</v>
      </c>
      <c r="O408">
        <v>1</v>
      </c>
      <c r="P408">
        <v>0.25</v>
      </c>
      <c r="Q408" t="s">
        <v>86</v>
      </c>
      <c r="R408" t="s">
        <v>65</v>
      </c>
      <c r="S408" t="s">
        <v>66</v>
      </c>
      <c r="T408" t="s">
        <v>66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4</v>
      </c>
      <c r="AJ408">
        <v>1</v>
      </c>
      <c r="AK408">
        <v>24</v>
      </c>
      <c r="AL408">
        <v>1</v>
      </c>
      <c r="AM408">
        <v>2</v>
      </c>
      <c r="AN408">
        <v>0</v>
      </c>
      <c r="AO408" t="s">
        <v>2343</v>
      </c>
      <c r="AP408" t="s">
        <v>68</v>
      </c>
      <c r="AQ408">
        <v>0.44800000000000001</v>
      </c>
      <c r="AR408" t="s">
        <v>69</v>
      </c>
      <c r="AS408">
        <v>26</v>
      </c>
      <c r="AT408">
        <v>1</v>
      </c>
      <c r="AU408">
        <v>2.9909999999999999E-2</v>
      </c>
      <c r="AV408">
        <v>-7.1900000000000002E-3</v>
      </c>
      <c r="AW408">
        <v>0.14327999999999999</v>
      </c>
      <c r="AX408">
        <v>-3.8929999999999999E-2</v>
      </c>
      <c r="AY408">
        <v>1.5200000000000001E-3</v>
      </c>
      <c r="AZ408">
        <v>-4.4000000000000002E-4</v>
      </c>
      <c r="BA408">
        <v>1.057E-2</v>
      </c>
      <c r="BB408">
        <v>1</v>
      </c>
      <c r="BC408" t="s">
        <v>70</v>
      </c>
      <c r="BD408">
        <v>-0.20300000000000001</v>
      </c>
      <c r="BE408">
        <v>-0.20300000000000001</v>
      </c>
      <c r="BF408" t="s">
        <v>71</v>
      </c>
      <c r="BG408">
        <v>7.0000000000000007E-2</v>
      </c>
      <c r="BI408">
        <v>27</v>
      </c>
      <c r="BJ408">
        <v>1.057E-2</v>
      </c>
      <c r="BK408">
        <v>7.0000000000000007E-2</v>
      </c>
    </row>
    <row r="409" spans="1:63">
      <c r="A409">
        <v>2389</v>
      </c>
      <c r="B409" t="s">
        <v>2344</v>
      </c>
      <c r="D409" t="s">
        <v>66</v>
      </c>
      <c r="E409">
        <v>2439807</v>
      </c>
      <c r="F409">
        <v>2440415</v>
      </c>
      <c r="G409" t="s">
        <v>2346</v>
      </c>
      <c r="H409">
        <v>203</v>
      </c>
      <c r="I409" t="s">
        <v>85</v>
      </c>
      <c r="J409">
        <v>4</v>
      </c>
      <c r="K409" t="str">
        <f>HYPERLINK("Gene2389-zp_tree_all.dnd", "Gene2389-tree")</f>
        <v>Gene2389-tree</v>
      </c>
      <c r="L409">
        <v>3</v>
      </c>
      <c r="M409">
        <v>1</v>
      </c>
      <c r="N409">
        <v>3</v>
      </c>
      <c r="O409">
        <v>1</v>
      </c>
      <c r="P409">
        <v>0.25</v>
      </c>
      <c r="Q409" t="s">
        <v>86</v>
      </c>
      <c r="R409" t="s">
        <v>65</v>
      </c>
      <c r="S409" t="s">
        <v>66</v>
      </c>
      <c r="T409" t="s">
        <v>66</v>
      </c>
      <c r="U409">
        <v>0</v>
      </c>
      <c r="V409">
        <v>0</v>
      </c>
      <c r="W409">
        <v>7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7</v>
      </c>
      <c r="AH409">
        <v>0</v>
      </c>
      <c r="AI409">
        <v>3</v>
      </c>
      <c r="AJ409">
        <v>1</v>
      </c>
      <c r="AK409">
        <v>24</v>
      </c>
      <c r="AL409">
        <v>8</v>
      </c>
      <c r="AM409">
        <v>1</v>
      </c>
      <c r="AN409">
        <v>0</v>
      </c>
      <c r="AO409" t="s">
        <v>2347</v>
      </c>
      <c r="AP409" t="s">
        <v>68</v>
      </c>
      <c r="AQ409">
        <v>0.51400000000000001</v>
      </c>
      <c r="AR409" t="s">
        <v>69</v>
      </c>
      <c r="AS409">
        <v>25</v>
      </c>
      <c r="AT409">
        <v>8</v>
      </c>
      <c r="AU409">
        <v>2.7369999999999998E-2</v>
      </c>
      <c r="AV409">
        <v>-9.41E-3</v>
      </c>
      <c r="AW409">
        <v>9.5820000000000002E-2</v>
      </c>
      <c r="AX409">
        <v>-3.1699999999999999E-2</v>
      </c>
      <c r="AY409">
        <v>8.7500000000000008E-3</v>
      </c>
      <c r="AZ409">
        <v>-3.5699999999999998E-3</v>
      </c>
      <c r="BA409">
        <v>9.1329999999999995E-2</v>
      </c>
      <c r="BB409">
        <v>1</v>
      </c>
      <c r="BC409" t="s">
        <v>70</v>
      </c>
      <c r="BD409">
        <v>-0.76700000000000002</v>
      </c>
      <c r="BE409">
        <v>-0.76700000000000002</v>
      </c>
      <c r="BF409" t="s">
        <v>71</v>
      </c>
      <c r="BG409">
        <v>0.103678929765886</v>
      </c>
      <c r="BI409">
        <v>33</v>
      </c>
      <c r="BJ409">
        <v>9.1329999999999995E-2</v>
      </c>
      <c r="BK409">
        <v>0.103678929765886</v>
      </c>
    </row>
    <row r="410" spans="1:63">
      <c r="A410">
        <v>2395</v>
      </c>
      <c r="B410" t="s">
        <v>2348</v>
      </c>
      <c r="D410" t="s">
        <v>66</v>
      </c>
      <c r="E410">
        <v>2443432</v>
      </c>
      <c r="F410">
        <v>2444196</v>
      </c>
      <c r="G410" t="s">
        <v>2350</v>
      </c>
      <c r="H410">
        <v>255</v>
      </c>
      <c r="I410" t="s">
        <v>63</v>
      </c>
      <c r="J410">
        <v>5</v>
      </c>
      <c r="K410" t="str">
        <f>HYPERLINK("Gene2395-zp_tree_all.dnd", "Gene2395-tree")</f>
        <v>Gene2395-tree</v>
      </c>
      <c r="L410">
        <v>4</v>
      </c>
      <c r="M410">
        <v>1</v>
      </c>
      <c r="N410">
        <v>4</v>
      </c>
      <c r="O410">
        <v>1</v>
      </c>
      <c r="P410">
        <v>0.2</v>
      </c>
      <c r="Q410" t="s">
        <v>64</v>
      </c>
      <c r="R410" t="s">
        <v>65</v>
      </c>
      <c r="S410" t="s">
        <v>66</v>
      </c>
      <c r="T410" t="s">
        <v>66</v>
      </c>
      <c r="U410">
        <v>0</v>
      </c>
      <c r="V410">
        <v>0</v>
      </c>
      <c r="W410">
        <v>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2</v>
      </c>
      <c r="AH410">
        <v>0</v>
      </c>
      <c r="AI410">
        <v>4</v>
      </c>
      <c r="AJ410">
        <v>2</v>
      </c>
      <c r="AK410">
        <v>10</v>
      </c>
      <c r="AL410">
        <v>2</v>
      </c>
      <c r="AM410">
        <v>24</v>
      </c>
      <c r="AN410">
        <v>0</v>
      </c>
      <c r="AO410" t="s">
        <v>2351</v>
      </c>
      <c r="AP410" t="s">
        <v>68</v>
      </c>
      <c r="AQ410">
        <v>0.57999999999999996</v>
      </c>
      <c r="AR410" t="s">
        <v>69</v>
      </c>
      <c r="AS410">
        <v>34</v>
      </c>
      <c r="AT410">
        <v>2</v>
      </c>
      <c r="AU410">
        <v>2.4410000000000001E-2</v>
      </c>
      <c r="AV410">
        <v>-4.6600000000000001E-3</v>
      </c>
      <c r="AW410">
        <v>0.11948</v>
      </c>
      <c r="AX410">
        <v>-2.392E-2</v>
      </c>
      <c r="AY410">
        <v>1.3500000000000001E-3</v>
      </c>
      <c r="AZ410">
        <v>-5.1999999999999995E-4</v>
      </c>
      <c r="BA410">
        <v>1.1259999999999999E-2</v>
      </c>
      <c r="BB410">
        <v>1</v>
      </c>
      <c r="BC410" t="s">
        <v>70</v>
      </c>
      <c r="BD410">
        <v>1.0469999999999999</v>
      </c>
      <c r="BE410">
        <v>0.58799999999999997</v>
      </c>
      <c r="BF410" t="s">
        <v>71</v>
      </c>
      <c r="BG410">
        <v>0.15697674418604601</v>
      </c>
      <c r="BI410">
        <v>36</v>
      </c>
      <c r="BJ410">
        <v>1.1259999999999999E-2</v>
      </c>
      <c r="BK410">
        <v>0.15697674418604601</v>
      </c>
    </row>
    <row r="411" spans="1:63">
      <c r="A411">
        <v>2397</v>
      </c>
      <c r="B411" t="s">
        <v>2352</v>
      </c>
      <c r="D411" t="s">
        <v>66</v>
      </c>
      <c r="E411">
        <v>2444648</v>
      </c>
      <c r="F411">
        <v>2444998</v>
      </c>
      <c r="G411" t="s">
        <v>2354</v>
      </c>
      <c r="H411">
        <v>117</v>
      </c>
      <c r="I411" t="s">
        <v>63</v>
      </c>
      <c r="J411">
        <v>5</v>
      </c>
      <c r="K411" t="str">
        <f>HYPERLINK("Gene2397-zp_tree_all.dnd", "Gene2397-tree")</f>
        <v>Gene2397-tree</v>
      </c>
      <c r="L411">
        <v>5</v>
      </c>
      <c r="M411">
        <v>0</v>
      </c>
      <c r="N411">
        <v>4</v>
      </c>
      <c r="O411">
        <v>0</v>
      </c>
      <c r="P411">
        <v>0</v>
      </c>
      <c r="Q411" t="s">
        <v>135</v>
      </c>
      <c r="R411" t="s">
        <v>66</v>
      </c>
      <c r="S411" t="s">
        <v>66</v>
      </c>
      <c r="T411" t="s">
        <v>66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4</v>
      </c>
      <c r="AJ411">
        <v>1</v>
      </c>
      <c r="AK411">
        <v>9</v>
      </c>
      <c r="AL411">
        <v>0</v>
      </c>
      <c r="AM411">
        <v>9</v>
      </c>
      <c r="AN411">
        <v>1</v>
      </c>
      <c r="AO411" t="s">
        <v>68</v>
      </c>
      <c r="AP411" t="s">
        <v>2355</v>
      </c>
      <c r="AQ411">
        <v>0</v>
      </c>
      <c r="AR411" t="s">
        <v>69</v>
      </c>
      <c r="AS411">
        <v>18</v>
      </c>
      <c r="AT411">
        <v>1</v>
      </c>
      <c r="AU411">
        <v>3.1809999999999998E-2</v>
      </c>
      <c r="AV411">
        <v>-5.7499999999999999E-3</v>
      </c>
      <c r="AW411">
        <v>0.14629</v>
      </c>
      <c r="AX411">
        <v>-2.726E-2</v>
      </c>
      <c r="AY411">
        <v>2.47E-3</v>
      </c>
      <c r="AZ411">
        <v>-5.8E-4</v>
      </c>
      <c r="BA411">
        <v>1.6889999999999999E-2</v>
      </c>
      <c r="BB411">
        <v>1</v>
      </c>
      <c r="BC411" t="s">
        <v>70</v>
      </c>
      <c r="BD411">
        <v>0.874</v>
      </c>
      <c r="BE411">
        <v>0.874</v>
      </c>
      <c r="BF411" t="s">
        <v>71</v>
      </c>
      <c r="BG411">
        <v>0.15384615384615299</v>
      </c>
      <c r="BI411">
        <v>19</v>
      </c>
      <c r="BJ411">
        <v>1.6889999999999999E-2</v>
      </c>
      <c r="BK411">
        <v>0.15384615384615299</v>
      </c>
    </row>
    <row r="412" spans="1:63">
      <c r="A412">
        <v>2403</v>
      </c>
      <c r="B412" t="s">
        <v>2358</v>
      </c>
      <c r="D412" t="s">
        <v>66</v>
      </c>
      <c r="E412">
        <v>2449844</v>
      </c>
      <c r="F412">
        <v>2450290</v>
      </c>
      <c r="G412" t="s">
        <v>2360</v>
      </c>
      <c r="H412">
        <v>149</v>
      </c>
      <c r="I412" t="s">
        <v>63</v>
      </c>
      <c r="J412">
        <v>5</v>
      </c>
      <c r="K412" t="str">
        <f>HYPERLINK("Gene2403-zp_tree_all.dnd", "Gene2403-tree")</f>
        <v>Gene2403-tree</v>
      </c>
      <c r="L412">
        <v>4</v>
      </c>
      <c r="M412">
        <v>1</v>
      </c>
      <c r="N412">
        <v>4</v>
      </c>
      <c r="O412">
        <v>1</v>
      </c>
      <c r="P412">
        <v>0.2</v>
      </c>
      <c r="Q412" t="s">
        <v>64</v>
      </c>
      <c r="R412" t="s">
        <v>65</v>
      </c>
      <c r="S412" t="s">
        <v>66</v>
      </c>
      <c r="T412" t="s">
        <v>66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</v>
      </c>
      <c r="AH412">
        <v>0</v>
      </c>
      <c r="AI412">
        <v>3</v>
      </c>
      <c r="AJ412">
        <v>2</v>
      </c>
      <c r="AK412">
        <v>3</v>
      </c>
      <c r="AL412">
        <v>1</v>
      </c>
      <c r="AM412">
        <v>7</v>
      </c>
      <c r="AN412">
        <v>0</v>
      </c>
      <c r="AO412" t="s">
        <v>2361</v>
      </c>
      <c r="AP412" t="s">
        <v>68</v>
      </c>
      <c r="AQ412">
        <v>0.64900000000000002</v>
      </c>
      <c r="AR412" t="s">
        <v>69</v>
      </c>
      <c r="AS412">
        <v>10</v>
      </c>
      <c r="AT412">
        <v>1</v>
      </c>
      <c r="AU412">
        <v>1.298E-2</v>
      </c>
      <c r="AV412">
        <v>-2.3E-3</v>
      </c>
      <c r="AW412">
        <v>6.0420000000000001E-2</v>
      </c>
      <c r="AX412">
        <v>-1.1950000000000001E-2</v>
      </c>
      <c r="AY412">
        <v>1.14E-3</v>
      </c>
      <c r="AZ412">
        <v>-3.8999999999999999E-4</v>
      </c>
      <c r="BA412">
        <v>1.8849999999999999E-2</v>
      </c>
      <c r="BB412">
        <v>1</v>
      </c>
      <c r="BC412" t="s">
        <v>70</v>
      </c>
      <c r="BD412">
        <v>0.70899999999999996</v>
      </c>
      <c r="BE412">
        <v>0.70899999999999996</v>
      </c>
      <c r="BF412" t="s">
        <v>71</v>
      </c>
      <c r="BG412">
        <v>0.11111111111111099</v>
      </c>
      <c r="BI412">
        <v>11</v>
      </c>
      <c r="BJ412">
        <v>1.8849999999999999E-2</v>
      </c>
      <c r="BK412">
        <v>0.11111111111111099</v>
      </c>
    </row>
    <row r="413" spans="1:63">
      <c r="A413">
        <v>2409</v>
      </c>
      <c r="B413" t="s">
        <v>2362</v>
      </c>
      <c r="D413" t="s">
        <v>66</v>
      </c>
      <c r="E413">
        <v>2455822</v>
      </c>
      <c r="F413">
        <v>2456808</v>
      </c>
      <c r="G413" t="s">
        <v>2364</v>
      </c>
      <c r="H413">
        <v>329</v>
      </c>
      <c r="I413" t="s">
        <v>63</v>
      </c>
      <c r="J413">
        <v>5</v>
      </c>
      <c r="K413" t="str">
        <f>HYPERLINK("Gene2409-zp_tree_all.dnd", "Gene2409-tree")</f>
        <v>Gene2409-tree</v>
      </c>
      <c r="L413">
        <v>3</v>
      </c>
      <c r="M413">
        <v>2</v>
      </c>
      <c r="N413">
        <v>3</v>
      </c>
      <c r="O413">
        <v>2</v>
      </c>
      <c r="P413">
        <v>0.4</v>
      </c>
      <c r="Q413" t="s">
        <v>86</v>
      </c>
      <c r="R413" t="s">
        <v>124</v>
      </c>
      <c r="S413" t="s">
        <v>66</v>
      </c>
      <c r="T413" t="s">
        <v>66</v>
      </c>
      <c r="U413">
        <v>0</v>
      </c>
      <c r="V413">
        <v>0</v>
      </c>
      <c r="W413">
        <v>3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2</v>
      </c>
      <c r="AH413">
        <v>0</v>
      </c>
      <c r="AI413">
        <v>5</v>
      </c>
      <c r="AJ413">
        <v>2</v>
      </c>
      <c r="AK413">
        <v>29</v>
      </c>
      <c r="AL413">
        <v>2</v>
      </c>
      <c r="AM413">
        <v>26</v>
      </c>
      <c r="AN413">
        <v>1</v>
      </c>
      <c r="AO413" t="s">
        <v>2365</v>
      </c>
      <c r="AP413" t="s">
        <v>2366</v>
      </c>
      <c r="AQ413">
        <v>0.42599999999999999</v>
      </c>
      <c r="AR413" t="s">
        <v>69</v>
      </c>
      <c r="AS413">
        <v>55</v>
      </c>
      <c r="AT413">
        <v>3</v>
      </c>
      <c r="AU413">
        <v>2.8060000000000002E-2</v>
      </c>
      <c r="AV413">
        <v>-4.6299999999999996E-3</v>
      </c>
      <c r="AW413">
        <v>0.13014000000000001</v>
      </c>
      <c r="AX413">
        <v>-2.2679999999999999E-2</v>
      </c>
      <c r="AY413">
        <v>1.8400000000000001E-3</v>
      </c>
      <c r="AZ413">
        <v>-3.3E-4</v>
      </c>
      <c r="BA413">
        <v>1.4149999999999999E-2</v>
      </c>
      <c r="BB413">
        <v>1</v>
      </c>
      <c r="BC413" t="s">
        <v>70</v>
      </c>
      <c r="BD413">
        <v>0.51900000000000002</v>
      </c>
      <c r="BE413">
        <v>0.25600000000000001</v>
      </c>
      <c r="BF413" t="s">
        <v>71</v>
      </c>
      <c r="BG413">
        <v>0.101851851851851</v>
      </c>
      <c r="BI413">
        <v>58</v>
      </c>
      <c r="BJ413">
        <v>1.4149999999999999E-2</v>
      </c>
      <c r="BK413">
        <v>0.101851851851851</v>
      </c>
    </row>
    <row r="414" spans="1:63">
      <c r="A414">
        <v>2417</v>
      </c>
      <c r="B414" t="s">
        <v>2369</v>
      </c>
      <c r="D414" t="s">
        <v>66</v>
      </c>
      <c r="E414">
        <v>2461876</v>
      </c>
      <c r="F414">
        <v>2462196</v>
      </c>
      <c r="G414" t="s">
        <v>74</v>
      </c>
      <c r="H414">
        <v>107</v>
      </c>
      <c r="I414" t="s">
        <v>63</v>
      </c>
      <c r="J414">
        <v>5</v>
      </c>
      <c r="K414" t="str">
        <f>HYPERLINK("Gene2417-zp_tree_all.dnd", "Gene2417-tree")</f>
        <v>Gene2417-tree</v>
      </c>
      <c r="L414">
        <v>5</v>
      </c>
      <c r="M414">
        <v>0</v>
      </c>
      <c r="N414">
        <v>5</v>
      </c>
      <c r="O414">
        <v>0</v>
      </c>
      <c r="P414">
        <v>0</v>
      </c>
      <c r="Q414" t="s">
        <v>96</v>
      </c>
      <c r="R414" t="s">
        <v>66</v>
      </c>
      <c r="S414" t="s">
        <v>66</v>
      </c>
      <c r="T414" t="s">
        <v>66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3</v>
      </c>
      <c r="AJ414">
        <v>1</v>
      </c>
      <c r="AK414">
        <v>4</v>
      </c>
      <c r="AL414">
        <v>0</v>
      </c>
      <c r="AM414">
        <v>8</v>
      </c>
      <c r="AN414">
        <v>0</v>
      </c>
      <c r="AO414" t="s">
        <v>68</v>
      </c>
      <c r="AP414" t="s">
        <v>68</v>
      </c>
      <c r="AQ414">
        <v>0</v>
      </c>
      <c r="AR414" t="s">
        <v>69</v>
      </c>
      <c r="AS414">
        <v>12</v>
      </c>
      <c r="AT414">
        <v>0</v>
      </c>
      <c r="AU414">
        <v>1.9939999999999999E-2</v>
      </c>
      <c r="AV414">
        <v>-3.8500000000000001E-3</v>
      </c>
      <c r="AW414">
        <v>9.9210000000000007E-2</v>
      </c>
      <c r="AX414">
        <v>-1.966E-2</v>
      </c>
      <c r="AY414">
        <v>0</v>
      </c>
      <c r="AZ414">
        <v>0</v>
      </c>
      <c r="BA414">
        <v>0</v>
      </c>
      <c r="BB414">
        <v>1</v>
      </c>
      <c r="BC414" t="s">
        <v>70</v>
      </c>
      <c r="BD414">
        <v>0.80400000000000005</v>
      </c>
      <c r="BE414">
        <v>0.80400000000000005</v>
      </c>
      <c r="BF414" t="s">
        <v>71</v>
      </c>
      <c r="BG414">
        <v>8.1761006289308102E-2</v>
      </c>
      <c r="BI414">
        <v>12</v>
      </c>
      <c r="BJ414">
        <v>0</v>
      </c>
      <c r="BK414">
        <v>8.1761006289308102E-2</v>
      </c>
    </row>
    <row r="415" spans="1:63">
      <c r="A415">
        <v>2420</v>
      </c>
      <c r="B415" t="s">
        <v>2371</v>
      </c>
      <c r="D415" t="s">
        <v>66</v>
      </c>
      <c r="E415">
        <v>2463574</v>
      </c>
      <c r="F415">
        <v>2464041</v>
      </c>
      <c r="G415" t="s">
        <v>74</v>
      </c>
      <c r="H415">
        <v>156</v>
      </c>
      <c r="I415" t="s">
        <v>85</v>
      </c>
      <c r="J415">
        <v>4</v>
      </c>
      <c r="K415" t="str">
        <f>HYPERLINK("Gene2420-zp_tree_all.dnd", "Gene2420-tree")</f>
        <v>Gene2420-tree</v>
      </c>
      <c r="L415">
        <v>1</v>
      </c>
      <c r="M415">
        <v>3</v>
      </c>
      <c r="N415">
        <v>1</v>
      </c>
      <c r="O415">
        <v>3</v>
      </c>
      <c r="P415">
        <v>0.75</v>
      </c>
      <c r="Q415" t="s">
        <v>65</v>
      </c>
      <c r="R415" t="s">
        <v>86</v>
      </c>
      <c r="S415" t="s">
        <v>66</v>
      </c>
      <c r="T415" t="s">
        <v>66</v>
      </c>
      <c r="U415">
        <v>0</v>
      </c>
      <c r="V415">
        <v>0</v>
      </c>
      <c r="W415">
        <v>5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5</v>
      </c>
      <c r="AH415">
        <v>0</v>
      </c>
      <c r="AI415">
        <v>4</v>
      </c>
      <c r="AJ415">
        <v>1</v>
      </c>
      <c r="AK415">
        <v>24</v>
      </c>
      <c r="AL415">
        <v>5</v>
      </c>
      <c r="AM415">
        <v>1</v>
      </c>
      <c r="AN415">
        <v>0</v>
      </c>
      <c r="AO415" t="s">
        <v>2373</v>
      </c>
      <c r="AP415" t="s">
        <v>68</v>
      </c>
      <c r="AQ415">
        <v>1.3779999999999999</v>
      </c>
      <c r="AR415" t="s">
        <v>69</v>
      </c>
      <c r="AS415">
        <v>25</v>
      </c>
      <c r="AT415">
        <v>5</v>
      </c>
      <c r="AU415">
        <v>3.0269999999999998E-2</v>
      </c>
      <c r="AV415">
        <v>-6.6699999999999997E-3</v>
      </c>
      <c r="AW415">
        <v>0.12801000000000001</v>
      </c>
      <c r="AX415">
        <v>-3.125E-2</v>
      </c>
      <c r="AY415">
        <v>6.8700000000000002E-3</v>
      </c>
      <c r="AZ415">
        <v>-1.42E-3</v>
      </c>
      <c r="BA415">
        <v>5.3670000000000002E-2</v>
      </c>
      <c r="BB415">
        <v>1</v>
      </c>
      <c r="BC415" t="s">
        <v>70</v>
      </c>
      <c r="BD415">
        <v>-0.39300000000000002</v>
      </c>
      <c r="BE415">
        <v>-0.39300000000000002</v>
      </c>
      <c r="BF415" t="s">
        <v>71</v>
      </c>
      <c r="BG415">
        <v>0.114583333333333</v>
      </c>
      <c r="BI415">
        <v>30</v>
      </c>
      <c r="BJ415">
        <v>5.3670000000000002E-2</v>
      </c>
      <c r="BK415">
        <v>0.114583333333333</v>
      </c>
    </row>
    <row r="416" spans="1:63">
      <c r="A416">
        <v>2422</v>
      </c>
      <c r="B416" t="s">
        <v>2374</v>
      </c>
      <c r="D416" t="s">
        <v>66</v>
      </c>
      <c r="E416">
        <v>2464565</v>
      </c>
      <c r="F416">
        <v>2465800</v>
      </c>
      <c r="G416" t="s">
        <v>2376</v>
      </c>
      <c r="H416">
        <v>412</v>
      </c>
      <c r="I416" t="s">
        <v>85</v>
      </c>
      <c r="J416">
        <v>4</v>
      </c>
      <c r="K416" t="str">
        <f>HYPERLINK("Gene2422-zp_tree_all.dnd", "Gene2422-tree")</f>
        <v>Gene2422-tree</v>
      </c>
      <c r="L416">
        <v>1</v>
      </c>
      <c r="M416">
        <v>3</v>
      </c>
      <c r="N416">
        <v>1</v>
      </c>
      <c r="O416">
        <v>3</v>
      </c>
      <c r="P416">
        <v>0.75</v>
      </c>
      <c r="Q416" t="s">
        <v>65</v>
      </c>
      <c r="R416" t="s">
        <v>86</v>
      </c>
      <c r="S416" t="s">
        <v>66</v>
      </c>
      <c r="T416" t="s">
        <v>66</v>
      </c>
      <c r="U416">
        <v>0</v>
      </c>
      <c r="V416">
        <v>0</v>
      </c>
      <c r="W416">
        <v>10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10</v>
      </c>
      <c r="AH416">
        <v>0</v>
      </c>
      <c r="AI416">
        <v>4</v>
      </c>
      <c r="AJ416">
        <v>1</v>
      </c>
      <c r="AK416">
        <v>60</v>
      </c>
      <c r="AL416">
        <v>11</v>
      </c>
      <c r="AM416">
        <v>6</v>
      </c>
      <c r="AN416">
        <v>0</v>
      </c>
      <c r="AO416" t="s">
        <v>2377</v>
      </c>
      <c r="AP416" t="s">
        <v>68</v>
      </c>
      <c r="AQ416">
        <v>0.73499999999999999</v>
      </c>
      <c r="AR416" t="s">
        <v>69</v>
      </c>
      <c r="AS416">
        <v>66</v>
      </c>
      <c r="AT416">
        <v>11</v>
      </c>
      <c r="AU416">
        <v>3.0609999999999998E-2</v>
      </c>
      <c r="AV416">
        <v>-7.6800000000000002E-3</v>
      </c>
      <c r="AW416">
        <v>0.12701999999999999</v>
      </c>
      <c r="AX416">
        <v>-3.3259999999999998E-2</v>
      </c>
      <c r="AY416">
        <v>6.1599999999999997E-3</v>
      </c>
      <c r="AZ416">
        <v>-1.6999999999999999E-3</v>
      </c>
      <c r="BA416">
        <v>4.8480000000000002E-2</v>
      </c>
      <c r="BB416">
        <v>1</v>
      </c>
      <c r="BC416" t="s">
        <v>70</v>
      </c>
      <c r="BD416">
        <v>-0.38300000000000001</v>
      </c>
      <c r="BE416">
        <v>-0.64900000000000002</v>
      </c>
      <c r="BF416" t="s">
        <v>71</v>
      </c>
      <c r="BG416">
        <v>0.16211878009630801</v>
      </c>
      <c r="BI416">
        <v>77</v>
      </c>
      <c r="BJ416">
        <v>4.8480000000000002E-2</v>
      </c>
      <c r="BK416">
        <v>0.16211878009630801</v>
      </c>
    </row>
    <row r="417" spans="1:63">
      <c r="A417">
        <v>2437</v>
      </c>
      <c r="B417" t="s">
        <v>2378</v>
      </c>
      <c r="D417" t="s">
        <v>66</v>
      </c>
      <c r="E417">
        <v>2480753</v>
      </c>
      <c r="F417">
        <v>2482159</v>
      </c>
      <c r="G417" t="s">
        <v>2380</v>
      </c>
      <c r="H417">
        <v>469</v>
      </c>
      <c r="I417" t="s">
        <v>63</v>
      </c>
      <c r="J417">
        <v>5</v>
      </c>
      <c r="K417" t="str">
        <f>HYPERLINK("Gene2437-zp_tree_all.dnd", "Gene2437-tree")</f>
        <v>Gene2437-tree</v>
      </c>
      <c r="L417">
        <v>4</v>
      </c>
      <c r="M417">
        <v>1</v>
      </c>
      <c r="N417">
        <v>4</v>
      </c>
      <c r="O417">
        <v>1</v>
      </c>
      <c r="P417">
        <v>0.2</v>
      </c>
      <c r="Q417" t="s">
        <v>64</v>
      </c>
      <c r="R417" t="s">
        <v>65</v>
      </c>
      <c r="S417" t="s">
        <v>66</v>
      </c>
      <c r="T417" t="s">
        <v>66</v>
      </c>
      <c r="U417">
        <v>0</v>
      </c>
      <c r="V417">
        <v>0</v>
      </c>
      <c r="W417">
        <v>2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1</v>
      </c>
      <c r="AH417">
        <v>0</v>
      </c>
      <c r="AI417">
        <v>5</v>
      </c>
      <c r="AJ417">
        <v>2</v>
      </c>
      <c r="AK417">
        <v>52</v>
      </c>
      <c r="AL417">
        <v>1</v>
      </c>
      <c r="AM417">
        <v>48</v>
      </c>
      <c r="AN417">
        <v>1</v>
      </c>
      <c r="AO417" t="s">
        <v>2381</v>
      </c>
      <c r="AP417" t="s">
        <v>2382</v>
      </c>
      <c r="AQ417">
        <v>1.4999999999999999E-2</v>
      </c>
      <c r="AR417" t="s">
        <v>69</v>
      </c>
      <c r="AS417">
        <v>100</v>
      </c>
      <c r="AT417">
        <v>2</v>
      </c>
      <c r="AU417">
        <v>3.397E-2</v>
      </c>
      <c r="AV417">
        <v>-5.6299999999999996E-3</v>
      </c>
      <c r="AW417">
        <v>0.16561000000000001</v>
      </c>
      <c r="AX417">
        <v>-2.8400000000000002E-2</v>
      </c>
      <c r="AY417">
        <v>9.2000000000000003E-4</v>
      </c>
      <c r="AZ417">
        <v>-2.3000000000000001E-4</v>
      </c>
      <c r="BA417">
        <v>5.5799999999999999E-3</v>
      </c>
      <c r="BB417">
        <v>1</v>
      </c>
      <c r="BC417" t="s">
        <v>70</v>
      </c>
      <c r="BD417">
        <v>0.53800000000000003</v>
      </c>
      <c r="BE417">
        <v>-4.1000000000000002E-2</v>
      </c>
      <c r="BF417" t="s">
        <v>71</v>
      </c>
      <c r="BG417">
        <v>6.1290322580645103E-2</v>
      </c>
      <c r="BI417">
        <v>102</v>
      </c>
      <c r="BJ417">
        <v>5.5799999999999999E-3</v>
      </c>
      <c r="BK417">
        <v>6.1290322580645103E-2</v>
      </c>
    </row>
    <row r="418" spans="1:63">
      <c r="A418">
        <v>2448</v>
      </c>
      <c r="B418" t="s">
        <v>2390</v>
      </c>
      <c r="D418" t="s">
        <v>66</v>
      </c>
      <c r="E418">
        <v>2491292</v>
      </c>
      <c r="F418">
        <v>2491948</v>
      </c>
      <c r="G418" t="s">
        <v>2392</v>
      </c>
      <c r="H418">
        <v>219</v>
      </c>
      <c r="I418" t="s">
        <v>85</v>
      </c>
      <c r="J418">
        <v>4</v>
      </c>
      <c r="K418" t="str">
        <f>HYPERLINK("Gene2448-zp_tree_all.dnd", "Gene2448-tree")</f>
        <v>Gene2448-tree</v>
      </c>
      <c r="L418">
        <v>3</v>
      </c>
      <c r="M418">
        <v>1</v>
      </c>
      <c r="N418">
        <v>3</v>
      </c>
      <c r="O418">
        <v>1</v>
      </c>
      <c r="P418">
        <v>0.25</v>
      </c>
      <c r="Q418" t="s">
        <v>86</v>
      </c>
      <c r="R418" t="s">
        <v>65</v>
      </c>
      <c r="S418" t="s">
        <v>66</v>
      </c>
      <c r="T418" t="s">
        <v>66</v>
      </c>
      <c r="U418">
        <v>0</v>
      </c>
      <c r="V418">
        <v>0</v>
      </c>
      <c r="W418">
        <v>3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3</v>
      </c>
      <c r="AH418">
        <v>0</v>
      </c>
      <c r="AI418">
        <v>4</v>
      </c>
      <c r="AJ418">
        <v>1</v>
      </c>
      <c r="AK418">
        <v>31</v>
      </c>
      <c r="AL418">
        <v>3</v>
      </c>
      <c r="AM418">
        <v>2</v>
      </c>
      <c r="AN418">
        <v>0</v>
      </c>
      <c r="AO418" t="s">
        <v>2393</v>
      </c>
      <c r="AP418" t="s">
        <v>68</v>
      </c>
      <c r="AQ418">
        <v>0.38900000000000001</v>
      </c>
      <c r="AR418" t="s">
        <v>69</v>
      </c>
      <c r="AS418">
        <v>33</v>
      </c>
      <c r="AT418">
        <v>3</v>
      </c>
      <c r="AU418">
        <v>2.6380000000000001E-2</v>
      </c>
      <c r="AV418">
        <v>-9.1199999999999996E-3</v>
      </c>
      <c r="AW418">
        <v>0.10882</v>
      </c>
      <c r="AX418">
        <v>-3.7780000000000001E-2</v>
      </c>
      <c r="AY418">
        <v>3.0599999999999998E-3</v>
      </c>
      <c r="AZ418">
        <v>-1.25E-3</v>
      </c>
      <c r="BA418">
        <v>2.809E-2</v>
      </c>
      <c r="BB418">
        <v>1</v>
      </c>
      <c r="BC418" t="s">
        <v>70</v>
      </c>
      <c r="BD418">
        <v>-0.38300000000000001</v>
      </c>
      <c r="BE418">
        <v>-0.95899999999999996</v>
      </c>
      <c r="BF418" t="s">
        <v>71</v>
      </c>
      <c r="BG418">
        <v>3.1802120141342698E-2</v>
      </c>
      <c r="BI418">
        <v>36</v>
      </c>
      <c r="BJ418">
        <v>2.809E-2</v>
      </c>
      <c r="BK418">
        <v>3.1802120141342698E-2</v>
      </c>
    </row>
    <row r="419" spans="1:63">
      <c r="A419">
        <v>2449</v>
      </c>
      <c r="B419" t="s">
        <v>2394</v>
      </c>
      <c r="D419" t="s">
        <v>66</v>
      </c>
      <c r="E419">
        <v>2492032</v>
      </c>
      <c r="F419">
        <v>2492796</v>
      </c>
      <c r="G419" t="s">
        <v>2396</v>
      </c>
      <c r="H419">
        <v>255</v>
      </c>
      <c r="I419" t="s">
        <v>63</v>
      </c>
      <c r="J419">
        <v>5</v>
      </c>
      <c r="K419" t="str">
        <f>HYPERLINK("Gene2449-zp_tree_all.dnd", "Gene2449-tree")</f>
        <v>Gene2449-tree</v>
      </c>
      <c r="L419">
        <v>2</v>
      </c>
      <c r="M419">
        <v>3</v>
      </c>
      <c r="N419">
        <v>2</v>
      </c>
      <c r="O419">
        <v>3</v>
      </c>
      <c r="P419">
        <v>0.6</v>
      </c>
      <c r="Q419" t="s">
        <v>124</v>
      </c>
      <c r="R419" t="s">
        <v>86</v>
      </c>
      <c r="S419" t="s">
        <v>66</v>
      </c>
      <c r="T419" t="s">
        <v>66</v>
      </c>
      <c r="U419">
        <v>0</v>
      </c>
      <c r="V419">
        <v>0</v>
      </c>
      <c r="W419">
        <v>14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14</v>
      </c>
      <c r="AH419">
        <v>0</v>
      </c>
      <c r="AI419">
        <v>5</v>
      </c>
      <c r="AJ419">
        <v>2</v>
      </c>
      <c r="AK419">
        <v>16</v>
      </c>
      <c r="AL419">
        <v>10</v>
      </c>
      <c r="AM419">
        <v>23</v>
      </c>
      <c r="AN419">
        <v>5</v>
      </c>
      <c r="AO419" t="s">
        <v>2397</v>
      </c>
      <c r="AP419" t="s">
        <v>2398</v>
      </c>
      <c r="AQ419">
        <v>1.1659999999999999</v>
      </c>
      <c r="AR419" t="s">
        <v>69</v>
      </c>
      <c r="AS419">
        <v>39</v>
      </c>
      <c r="AT419">
        <v>15</v>
      </c>
      <c r="AU419">
        <v>3.4770000000000002E-2</v>
      </c>
      <c r="AV419">
        <v>-5.0600000000000003E-3</v>
      </c>
      <c r="AW419">
        <v>0.13300999999999999</v>
      </c>
      <c r="AX419">
        <v>-2.0879999999999999E-2</v>
      </c>
      <c r="AY419">
        <v>1.1769999999999999E-2</v>
      </c>
      <c r="AZ419">
        <v>-1.91E-3</v>
      </c>
      <c r="BA419">
        <v>8.8459999999999997E-2</v>
      </c>
      <c r="BB419">
        <v>1</v>
      </c>
      <c r="BC419" t="s">
        <v>70</v>
      </c>
      <c r="BD419">
        <v>0.65400000000000003</v>
      </c>
      <c r="BE419">
        <v>0.222</v>
      </c>
      <c r="BF419" t="s">
        <v>71</v>
      </c>
      <c r="BG419">
        <v>0.182389937106918</v>
      </c>
      <c r="BI419">
        <v>54</v>
      </c>
      <c r="BJ419">
        <v>8.8459999999999997E-2</v>
      </c>
      <c r="BK419">
        <v>0.182389937106918</v>
      </c>
    </row>
    <row r="420" spans="1:63">
      <c r="A420">
        <v>2456</v>
      </c>
      <c r="B420" t="s">
        <v>2399</v>
      </c>
      <c r="D420" t="s">
        <v>66</v>
      </c>
      <c r="E420">
        <v>2499093</v>
      </c>
      <c r="F420">
        <v>2500082</v>
      </c>
      <c r="G420" t="s">
        <v>2401</v>
      </c>
      <c r="H420">
        <v>330</v>
      </c>
      <c r="I420" t="s">
        <v>106</v>
      </c>
      <c r="J420">
        <v>4</v>
      </c>
      <c r="K420" t="str">
        <f>HYPERLINK("Gene2456-zp_tree_all.dnd", "Gene2456-tree")</f>
        <v>Gene2456-tree</v>
      </c>
      <c r="L420">
        <v>2</v>
      </c>
      <c r="M420">
        <v>2</v>
      </c>
      <c r="N420">
        <v>2</v>
      </c>
      <c r="O420">
        <v>2</v>
      </c>
      <c r="P420">
        <v>0.5</v>
      </c>
      <c r="Q420" t="s">
        <v>124</v>
      </c>
      <c r="R420" t="s">
        <v>124</v>
      </c>
      <c r="S420" t="s">
        <v>66</v>
      </c>
      <c r="T420" t="s">
        <v>66</v>
      </c>
      <c r="U420">
        <v>0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1</v>
      </c>
      <c r="AK420">
        <v>52</v>
      </c>
      <c r="AL420">
        <v>5</v>
      </c>
      <c r="AM420">
        <v>1</v>
      </c>
      <c r="AN420">
        <v>0</v>
      </c>
      <c r="AO420" t="s">
        <v>2402</v>
      </c>
      <c r="AP420" t="s">
        <v>68</v>
      </c>
      <c r="AQ420">
        <v>0.59099999999999997</v>
      </c>
      <c r="AR420" t="s">
        <v>69</v>
      </c>
      <c r="AS420">
        <v>53</v>
      </c>
      <c r="AT420">
        <v>5</v>
      </c>
      <c r="AU420">
        <v>2.845E-2</v>
      </c>
      <c r="AV420">
        <v>-8.6E-3</v>
      </c>
      <c r="AW420">
        <v>0.12570000000000001</v>
      </c>
      <c r="AX420">
        <v>-3.9410000000000001E-2</v>
      </c>
      <c r="AY420">
        <v>3.31E-3</v>
      </c>
      <c r="AZ420">
        <v>-1.0200000000000001E-3</v>
      </c>
      <c r="BA420">
        <v>2.6339999999999999E-2</v>
      </c>
      <c r="BB420">
        <v>1</v>
      </c>
      <c r="BC420" t="s">
        <v>70</v>
      </c>
      <c r="BD420">
        <v>-0.45500000000000002</v>
      </c>
      <c r="BE420">
        <v>-0.80900000000000005</v>
      </c>
      <c r="BF420" t="s">
        <v>71</v>
      </c>
      <c r="BG420">
        <v>0.113924050632911</v>
      </c>
      <c r="BI420">
        <v>58</v>
      </c>
      <c r="BJ420">
        <v>2.6339999999999999E-2</v>
      </c>
      <c r="BK420">
        <v>0.113924050632911</v>
      </c>
    </row>
    <row r="421" spans="1:63">
      <c r="A421">
        <v>2471</v>
      </c>
      <c r="B421" t="s">
        <v>2403</v>
      </c>
      <c r="D421" t="s">
        <v>66</v>
      </c>
      <c r="E421">
        <v>2515617</v>
      </c>
      <c r="F421">
        <v>2515907</v>
      </c>
      <c r="G421" t="s">
        <v>818</v>
      </c>
      <c r="H421">
        <v>97</v>
      </c>
      <c r="I421" t="s">
        <v>106</v>
      </c>
      <c r="J421">
        <v>4</v>
      </c>
      <c r="K421" t="str">
        <f>HYPERLINK("Gene2471-zp_tree_all.dnd", "Gene2471-tree")</f>
        <v>Gene2471-tree</v>
      </c>
      <c r="L421">
        <v>2</v>
      </c>
      <c r="M421">
        <v>2</v>
      </c>
      <c r="N421">
        <v>2</v>
      </c>
      <c r="O421">
        <v>2</v>
      </c>
      <c r="P421">
        <v>0.5</v>
      </c>
      <c r="Q421" t="s">
        <v>124</v>
      </c>
      <c r="R421" t="s">
        <v>124</v>
      </c>
      <c r="S421" t="s">
        <v>66</v>
      </c>
      <c r="T421" t="s">
        <v>66</v>
      </c>
      <c r="U421">
        <v>0</v>
      </c>
      <c r="V421">
        <v>0</v>
      </c>
      <c r="W421">
        <v>7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7</v>
      </c>
      <c r="AH421">
        <v>0</v>
      </c>
      <c r="AI421">
        <v>3</v>
      </c>
      <c r="AJ421">
        <v>0</v>
      </c>
      <c r="AK421">
        <v>10</v>
      </c>
      <c r="AL421">
        <v>7</v>
      </c>
      <c r="AM421">
        <v>0</v>
      </c>
      <c r="AN421">
        <v>0</v>
      </c>
      <c r="AO421" t="s">
        <v>2405</v>
      </c>
      <c r="AP421" t="s">
        <v>68</v>
      </c>
      <c r="AQ421">
        <v>0.89700000000000002</v>
      </c>
      <c r="AR421" t="s">
        <v>69</v>
      </c>
      <c r="AS421">
        <v>10</v>
      </c>
      <c r="AT421">
        <v>7</v>
      </c>
      <c r="AU421">
        <v>2.8639999999999999E-2</v>
      </c>
      <c r="AV421">
        <v>-8.09E-3</v>
      </c>
      <c r="AW421">
        <v>7.6270000000000004E-2</v>
      </c>
      <c r="AX421">
        <v>-1.932E-2</v>
      </c>
      <c r="AY421">
        <v>1.5970000000000002E-2</v>
      </c>
      <c r="AZ421">
        <v>-5.3699999999999998E-3</v>
      </c>
      <c r="BA421">
        <v>0.20941000000000001</v>
      </c>
      <c r="BB421">
        <v>0.99</v>
      </c>
      <c r="BC421" t="s">
        <v>70</v>
      </c>
      <c r="BD421">
        <v>-0.46</v>
      </c>
      <c r="BE421">
        <v>-1.044</v>
      </c>
      <c r="BF421" t="s">
        <v>71</v>
      </c>
      <c r="BG421">
        <v>0.16923076923076899</v>
      </c>
      <c r="BI421">
        <v>17</v>
      </c>
      <c r="BJ421">
        <v>0.20941000000000001</v>
      </c>
      <c r="BK421">
        <v>0.16923076923076899</v>
      </c>
    </row>
    <row r="422" spans="1:63">
      <c r="A422">
        <v>2473</v>
      </c>
      <c r="B422" t="s">
        <v>2406</v>
      </c>
      <c r="D422" t="s">
        <v>66</v>
      </c>
      <c r="E422">
        <v>2518026</v>
      </c>
      <c r="F422">
        <v>2518826</v>
      </c>
      <c r="G422" t="s">
        <v>2408</v>
      </c>
      <c r="H422">
        <v>267</v>
      </c>
      <c r="I422" t="s">
        <v>63</v>
      </c>
      <c r="J422">
        <v>5</v>
      </c>
      <c r="K422" t="str">
        <f>HYPERLINK("Gene2473-zp_tree_all.dnd", "Gene2473-tree")</f>
        <v>Gene2473-tree</v>
      </c>
      <c r="L422">
        <v>5</v>
      </c>
      <c r="M422">
        <v>0</v>
      </c>
      <c r="N422">
        <v>5</v>
      </c>
      <c r="O422">
        <v>0</v>
      </c>
      <c r="P422">
        <v>0</v>
      </c>
      <c r="Q422" t="s">
        <v>96</v>
      </c>
      <c r="R422" t="s">
        <v>66</v>
      </c>
      <c r="S422" t="s">
        <v>66</v>
      </c>
      <c r="T422" t="s">
        <v>66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2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5</v>
      </c>
      <c r="AJ422">
        <v>2</v>
      </c>
      <c r="AK422">
        <v>30</v>
      </c>
      <c r="AL422">
        <v>0</v>
      </c>
      <c r="AM422">
        <v>19</v>
      </c>
      <c r="AN422">
        <v>2</v>
      </c>
      <c r="AO422" t="s">
        <v>68</v>
      </c>
      <c r="AP422" t="s">
        <v>2409</v>
      </c>
      <c r="AQ422">
        <v>1.143</v>
      </c>
      <c r="AR422" t="s">
        <v>69</v>
      </c>
      <c r="AS422">
        <v>49</v>
      </c>
      <c r="AT422">
        <v>2</v>
      </c>
      <c r="AU422">
        <v>2.8590000000000001E-2</v>
      </c>
      <c r="AV422">
        <v>-3.65E-3</v>
      </c>
      <c r="AW422">
        <v>0.13375000000000001</v>
      </c>
      <c r="AX422">
        <v>-1.8509999999999999E-2</v>
      </c>
      <c r="AY422">
        <v>1.9400000000000001E-3</v>
      </c>
      <c r="AZ422">
        <v>-3.6999999999999999E-4</v>
      </c>
      <c r="BA422">
        <v>1.448E-2</v>
      </c>
      <c r="BB422">
        <v>1</v>
      </c>
      <c r="BC422" t="s">
        <v>70</v>
      </c>
      <c r="BD422">
        <v>0.45300000000000001</v>
      </c>
      <c r="BE422">
        <v>0</v>
      </c>
      <c r="BF422" t="s">
        <v>71</v>
      </c>
      <c r="BG422">
        <v>6.6298342541436406E-2</v>
      </c>
      <c r="BI422">
        <v>51</v>
      </c>
      <c r="BJ422">
        <v>1.448E-2</v>
      </c>
      <c r="BK422">
        <v>6.6298342541436406E-2</v>
      </c>
    </row>
    <row r="423" spans="1:63">
      <c r="A423">
        <v>2477</v>
      </c>
      <c r="B423" t="s">
        <v>2410</v>
      </c>
      <c r="D423" t="s">
        <v>66</v>
      </c>
      <c r="E423">
        <v>2522874</v>
      </c>
      <c r="F423">
        <v>2523716</v>
      </c>
      <c r="G423" t="s">
        <v>2412</v>
      </c>
      <c r="H423">
        <v>281</v>
      </c>
      <c r="I423" t="s">
        <v>85</v>
      </c>
      <c r="J423">
        <v>4</v>
      </c>
      <c r="K423" t="str">
        <f>HYPERLINK("Gene2477-zp_tree_all.dnd", "Gene2477-tree")</f>
        <v>Gene2477-tree</v>
      </c>
      <c r="L423">
        <v>2</v>
      </c>
      <c r="M423">
        <v>2</v>
      </c>
      <c r="N423">
        <v>2</v>
      </c>
      <c r="O423">
        <v>2</v>
      </c>
      <c r="P423">
        <v>0.5</v>
      </c>
      <c r="Q423" t="s">
        <v>124</v>
      </c>
      <c r="R423" t="s">
        <v>124</v>
      </c>
      <c r="S423" t="s">
        <v>66</v>
      </c>
      <c r="T423" t="s">
        <v>66</v>
      </c>
      <c r="U423">
        <v>0</v>
      </c>
      <c r="V423">
        <v>0</v>
      </c>
      <c r="W423">
        <v>6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6</v>
      </c>
      <c r="AH423">
        <v>0</v>
      </c>
      <c r="AI423">
        <v>4</v>
      </c>
      <c r="AJ423">
        <v>1</v>
      </c>
      <c r="AK423">
        <v>32</v>
      </c>
      <c r="AL423">
        <v>6</v>
      </c>
      <c r="AM423">
        <v>2</v>
      </c>
      <c r="AN423">
        <v>0</v>
      </c>
      <c r="AO423" t="s">
        <v>2413</v>
      </c>
      <c r="AP423" t="s">
        <v>68</v>
      </c>
      <c r="AQ423">
        <v>0.66900000000000004</v>
      </c>
      <c r="AR423" t="s">
        <v>69</v>
      </c>
      <c r="AS423">
        <v>34</v>
      </c>
      <c r="AT423">
        <v>6</v>
      </c>
      <c r="AU423">
        <v>2.3130000000000001E-2</v>
      </c>
      <c r="AV423">
        <v>-5.5999999999999999E-3</v>
      </c>
      <c r="AW423">
        <v>9.1490000000000002E-2</v>
      </c>
      <c r="AX423">
        <v>-2.189E-2</v>
      </c>
      <c r="AY423">
        <v>4.6600000000000001E-3</v>
      </c>
      <c r="AZ423">
        <v>-1.5100000000000001E-3</v>
      </c>
      <c r="BA423">
        <v>5.0889999999999998E-2</v>
      </c>
      <c r="BB423">
        <v>1</v>
      </c>
      <c r="BC423" t="s">
        <v>70</v>
      </c>
      <c r="BD423">
        <v>-0.35</v>
      </c>
      <c r="BE423">
        <v>-0.60699999999999998</v>
      </c>
      <c r="BF423" t="s">
        <v>71</v>
      </c>
      <c r="BG423">
        <v>0.162907268170426</v>
      </c>
      <c r="BI423">
        <v>40</v>
      </c>
      <c r="BJ423">
        <v>5.0889999999999998E-2</v>
      </c>
      <c r="BK423">
        <v>0.162907268170426</v>
      </c>
    </row>
    <row r="424" spans="1:63">
      <c r="A424">
        <v>2478</v>
      </c>
      <c r="B424" t="s">
        <v>2414</v>
      </c>
      <c r="D424" t="s">
        <v>66</v>
      </c>
      <c r="E424">
        <v>2523716</v>
      </c>
      <c r="F424">
        <v>2525614</v>
      </c>
      <c r="G424" t="s">
        <v>2416</v>
      </c>
      <c r="H424">
        <v>633</v>
      </c>
      <c r="I424" t="s">
        <v>85</v>
      </c>
      <c r="J424">
        <v>4</v>
      </c>
      <c r="K424" t="str">
        <f>HYPERLINK("Gene2478-zp_tree_all.dnd", "Gene2478-tree")</f>
        <v>Gene2478-tree</v>
      </c>
      <c r="L424">
        <v>1</v>
      </c>
      <c r="M424">
        <v>3</v>
      </c>
      <c r="N424">
        <v>1</v>
      </c>
      <c r="O424">
        <v>3</v>
      </c>
      <c r="P424">
        <v>0.75</v>
      </c>
      <c r="Q424" t="s">
        <v>65</v>
      </c>
      <c r="R424" t="s">
        <v>86</v>
      </c>
      <c r="S424" t="s">
        <v>66</v>
      </c>
      <c r="T424" t="s">
        <v>66</v>
      </c>
      <c r="U424">
        <v>1</v>
      </c>
      <c r="V424">
        <v>2</v>
      </c>
      <c r="W424">
        <v>6</v>
      </c>
      <c r="X424">
        <v>0.25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</v>
      </c>
      <c r="AE424">
        <v>0</v>
      </c>
      <c r="AF424">
        <v>2</v>
      </c>
      <c r="AG424">
        <v>6</v>
      </c>
      <c r="AH424">
        <v>0.25</v>
      </c>
      <c r="AI424">
        <v>4</v>
      </c>
      <c r="AJ424">
        <v>1</v>
      </c>
      <c r="AK424">
        <v>94</v>
      </c>
      <c r="AL424">
        <v>9</v>
      </c>
      <c r="AM424">
        <v>5</v>
      </c>
      <c r="AN424">
        <v>0</v>
      </c>
      <c r="AO424" t="s">
        <v>2417</v>
      </c>
      <c r="AP424" t="s">
        <v>68</v>
      </c>
      <c r="AQ424">
        <v>0.995</v>
      </c>
      <c r="AR424" t="s">
        <v>69</v>
      </c>
      <c r="AS424">
        <v>99</v>
      </c>
      <c r="AT424">
        <v>9</v>
      </c>
      <c r="AU424">
        <v>2.7470000000000001E-2</v>
      </c>
      <c r="AV424">
        <v>-6.0800000000000003E-3</v>
      </c>
      <c r="AW424">
        <v>0.12322</v>
      </c>
      <c r="AX424">
        <v>-2.8369999999999999E-2</v>
      </c>
      <c r="AY424">
        <v>2.8500000000000001E-3</v>
      </c>
      <c r="AZ424">
        <v>-8.0999999999999996E-4</v>
      </c>
      <c r="BA424">
        <v>2.3130000000000001E-2</v>
      </c>
      <c r="BB424">
        <v>1</v>
      </c>
      <c r="BC424" t="s">
        <v>70</v>
      </c>
      <c r="BD424">
        <v>-0.35499999999999998</v>
      </c>
      <c r="BE424">
        <v>-0.64600000000000002</v>
      </c>
      <c r="BF424" t="s">
        <v>71</v>
      </c>
      <c r="BG424">
        <v>0.110132158590308</v>
      </c>
      <c r="BI424">
        <v>108</v>
      </c>
      <c r="BJ424">
        <v>2.3130000000000001E-2</v>
      </c>
      <c r="BK424">
        <v>0.110132158590308</v>
      </c>
    </row>
    <row r="425" spans="1:63">
      <c r="A425">
        <v>2480</v>
      </c>
      <c r="B425" t="s">
        <v>2418</v>
      </c>
      <c r="D425" t="s">
        <v>66</v>
      </c>
      <c r="E425">
        <v>2526672</v>
      </c>
      <c r="F425">
        <v>2526923</v>
      </c>
      <c r="G425" t="s">
        <v>2420</v>
      </c>
      <c r="H425">
        <v>84</v>
      </c>
      <c r="I425" t="s">
        <v>63</v>
      </c>
      <c r="J425">
        <v>5</v>
      </c>
      <c r="K425" t="str">
        <f>HYPERLINK("Gene2480-zp_tree_all.dnd", "Gene2480-tree")</f>
        <v>Gene2480-tree</v>
      </c>
      <c r="L425">
        <v>3</v>
      </c>
      <c r="M425">
        <v>2</v>
      </c>
      <c r="N425">
        <v>2</v>
      </c>
      <c r="O425">
        <v>2</v>
      </c>
      <c r="P425">
        <v>0.5</v>
      </c>
      <c r="Q425" t="s">
        <v>185</v>
      </c>
      <c r="R425" t="s">
        <v>124</v>
      </c>
      <c r="S425" t="s">
        <v>66</v>
      </c>
      <c r="T425" t="s">
        <v>66</v>
      </c>
      <c r="U425">
        <v>0</v>
      </c>
      <c r="V425">
        <v>0</v>
      </c>
      <c r="W425">
        <v>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2</v>
      </c>
      <c r="AH425">
        <v>0</v>
      </c>
      <c r="AI425">
        <v>3</v>
      </c>
      <c r="AJ425">
        <v>1</v>
      </c>
      <c r="AK425">
        <v>6</v>
      </c>
      <c r="AL425">
        <v>3</v>
      </c>
      <c r="AM425">
        <v>7</v>
      </c>
      <c r="AN425">
        <v>0</v>
      </c>
      <c r="AO425" t="s">
        <v>2421</v>
      </c>
      <c r="AP425" t="s">
        <v>68</v>
      </c>
      <c r="AQ425">
        <v>1.284</v>
      </c>
      <c r="AR425" t="s">
        <v>69</v>
      </c>
      <c r="AS425">
        <v>13</v>
      </c>
      <c r="AT425">
        <v>3</v>
      </c>
      <c r="AU425">
        <v>3.3730000000000003E-2</v>
      </c>
      <c r="AV425">
        <v>-5.8199999999999997E-3</v>
      </c>
      <c r="AW425">
        <v>0.17655999999999999</v>
      </c>
      <c r="AX425">
        <v>-2.6880000000000001E-2</v>
      </c>
      <c r="AY425">
        <v>7.3299999999999997E-3</v>
      </c>
      <c r="AZ425">
        <v>-1.92E-3</v>
      </c>
      <c r="BA425">
        <v>4.1520000000000001E-2</v>
      </c>
      <c r="BB425">
        <v>1</v>
      </c>
      <c r="BC425" t="s">
        <v>70</v>
      </c>
      <c r="BD425">
        <v>0.52100000000000002</v>
      </c>
      <c r="BE425">
        <v>-0.56399999999999995</v>
      </c>
      <c r="BF425" t="s">
        <v>71</v>
      </c>
      <c r="BG425">
        <v>0.23076923076923</v>
      </c>
      <c r="BI425">
        <v>16</v>
      </c>
      <c r="BJ425">
        <v>4.1520000000000001E-2</v>
      </c>
      <c r="BK425">
        <v>0.23076923076923</v>
      </c>
    </row>
    <row r="426" spans="1:63">
      <c r="A426">
        <v>2482</v>
      </c>
      <c r="B426" t="s">
        <v>2422</v>
      </c>
      <c r="D426" t="s">
        <v>66</v>
      </c>
      <c r="E426">
        <v>2528407</v>
      </c>
      <c r="F426">
        <v>2529255</v>
      </c>
      <c r="G426" t="s">
        <v>2424</v>
      </c>
      <c r="H426">
        <v>283</v>
      </c>
      <c r="I426" t="s">
        <v>63</v>
      </c>
      <c r="J426">
        <v>5</v>
      </c>
      <c r="K426" t="str">
        <f>HYPERLINK("Gene2482-zp_tree_all.dnd", "Gene2482-tree")</f>
        <v>Gene2482-tree</v>
      </c>
      <c r="L426">
        <v>4</v>
      </c>
      <c r="M426">
        <v>1</v>
      </c>
      <c r="N426">
        <v>4</v>
      </c>
      <c r="O426">
        <v>1</v>
      </c>
      <c r="P426">
        <v>0.2</v>
      </c>
      <c r="Q426" t="s">
        <v>64</v>
      </c>
      <c r="R426" t="s">
        <v>65</v>
      </c>
      <c r="S426" t="s">
        <v>66</v>
      </c>
      <c r="T426" t="s">
        <v>66</v>
      </c>
      <c r="U426">
        <v>0</v>
      </c>
      <c r="V426">
        <v>0</v>
      </c>
      <c r="W426">
        <v>2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5</v>
      </c>
      <c r="AJ426">
        <v>2</v>
      </c>
      <c r="AK426">
        <v>14</v>
      </c>
      <c r="AL426">
        <v>1</v>
      </c>
      <c r="AM426">
        <v>17</v>
      </c>
      <c r="AN426">
        <v>1</v>
      </c>
      <c r="AO426" t="s">
        <v>2425</v>
      </c>
      <c r="AP426" t="s">
        <v>2426</v>
      </c>
      <c r="AQ426">
        <v>9.4E-2</v>
      </c>
      <c r="AR426" t="s">
        <v>69</v>
      </c>
      <c r="AS426">
        <v>31</v>
      </c>
      <c r="AT426">
        <v>2</v>
      </c>
      <c r="AU426">
        <v>1.9550000000000001E-2</v>
      </c>
      <c r="AV426">
        <v>-3.3E-3</v>
      </c>
      <c r="AW426">
        <v>8.5089999999999999E-2</v>
      </c>
      <c r="AX426">
        <v>-1.46E-2</v>
      </c>
      <c r="AY426">
        <v>1.5399999999999999E-3</v>
      </c>
      <c r="AZ426">
        <v>-3.8000000000000002E-4</v>
      </c>
      <c r="BA426">
        <v>1.806E-2</v>
      </c>
      <c r="BB426">
        <v>1</v>
      </c>
      <c r="BC426" t="s">
        <v>70</v>
      </c>
      <c r="BD426">
        <v>0.86499999999999999</v>
      </c>
      <c r="BE426">
        <v>0.36199999999999999</v>
      </c>
      <c r="BF426" t="s">
        <v>71</v>
      </c>
      <c r="BG426">
        <v>6.7010309278350499E-2</v>
      </c>
      <c r="BI426">
        <v>33</v>
      </c>
      <c r="BJ426">
        <v>1.806E-2</v>
      </c>
      <c r="BK426">
        <v>6.7010309278350499E-2</v>
      </c>
    </row>
    <row r="427" spans="1:63">
      <c r="A427">
        <v>2484</v>
      </c>
      <c r="B427" t="s">
        <v>2430</v>
      </c>
      <c r="D427" t="s">
        <v>66</v>
      </c>
      <c r="E427">
        <v>2529929</v>
      </c>
      <c r="F427">
        <v>2530333</v>
      </c>
      <c r="G427" t="s">
        <v>74</v>
      </c>
      <c r="H427">
        <v>135</v>
      </c>
      <c r="I427" t="s">
        <v>63</v>
      </c>
      <c r="J427">
        <v>5</v>
      </c>
      <c r="K427" t="str">
        <f>HYPERLINK("Gene2484-zp_tree_all.dnd", "Gene2484-tree")</f>
        <v>Gene2484-tree</v>
      </c>
      <c r="L427">
        <v>4</v>
      </c>
      <c r="M427">
        <v>1</v>
      </c>
      <c r="N427">
        <v>4</v>
      </c>
      <c r="O427">
        <v>1</v>
      </c>
      <c r="P427">
        <v>0.2</v>
      </c>
      <c r="Q427" t="s">
        <v>64</v>
      </c>
      <c r="R427" t="s">
        <v>65</v>
      </c>
      <c r="S427" t="s">
        <v>66</v>
      </c>
      <c r="T427" t="s">
        <v>66</v>
      </c>
      <c r="U427">
        <v>0</v>
      </c>
      <c r="V427">
        <v>0</v>
      </c>
      <c r="W427">
        <v>2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1</v>
      </c>
      <c r="AH427">
        <v>0</v>
      </c>
      <c r="AI427">
        <v>3</v>
      </c>
      <c r="AJ427">
        <v>2</v>
      </c>
      <c r="AK427">
        <v>9</v>
      </c>
      <c r="AL427">
        <v>1</v>
      </c>
      <c r="AM427">
        <v>10</v>
      </c>
      <c r="AN427">
        <v>1</v>
      </c>
      <c r="AO427" t="s">
        <v>2432</v>
      </c>
      <c r="AP427" t="s">
        <v>2433</v>
      </c>
      <c r="AQ427">
        <v>7.0999999999999994E-2</v>
      </c>
      <c r="AR427" t="s">
        <v>69</v>
      </c>
      <c r="AS427">
        <v>19</v>
      </c>
      <c r="AT427">
        <v>2</v>
      </c>
      <c r="AU427">
        <v>2.5190000000000001E-2</v>
      </c>
      <c r="AV427">
        <v>-4.7099999999999998E-3</v>
      </c>
      <c r="AW427">
        <v>0.11385000000000001</v>
      </c>
      <c r="AX427">
        <v>-2.2689999999999998E-2</v>
      </c>
      <c r="AY427">
        <v>3.1800000000000001E-3</v>
      </c>
      <c r="AZ427">
        <v>-7.7999999999999999E-4</v>
      </c>
      <c r="BA427">
        <v>2.794E-2</v>
      </c>
      <c r="BB427">
        <v>1</v>
      </c>
      <c r="BC427" t="s">
        <v>70</v>
      </c>
      <c r="BD427">
        <v>0.874</v>
      </c>
      <c r="BE427">
        <v>0.55000000000000004</v>
      </c>
      <c r="BF427" t="s">
        <v>71</v>
      </c>
      <c r="BG427">
        <v>0.12707182320441901</v>
      </c>
      <c r="BI427">
        <v>21</v>
      </c>
      <c r="BJ427">
        <v>2.794E-2</v>
      </c>
      <c r="BK427">
        <v>0.12707182320441901</v>
      </c>
    </row>
    <row r="428" spans="1:63">
      <c r="A428">
        <v>2485</v>
      </c>
      <c r="B428" t="s">
        <v>2434</v>
      </c>
      <c r="D428" t="s">
        <v>66</v>
      </c>
      <c r="E428">
        <v>2530357</v>
      </c>
      <c r="F428">
        <v>2531706</v>
      </c>
      <c r="G428" t="s">
        <v>2436</v>
      </c>
      <c r="H428">
        <v>450</v>
      </c>
      <c r="I428" t="s">
        <v>63</v>
      </c>
      <c r="J428">
        <v>5</v>
      </c>
      <c r="K428" t="str">
        <f>HYPERLINK("Gene2485-zp_tree_all.dnd", "Gene2485-tree")</f>
        <v>Gene2485-tree</v>
      </c>
      <c r="L428">
        <v>2</v>
      </c>
      <c r="M428">
        <v>3</v>
      </c>
      <c r="N428">
        <v>2</v>
      </c>
      <c r="O428">
        <v>3</v>
      </c>
      <c r="P428">
        <v>0.6</v>
      </c>
      <c r="Q428" t="s">
        <v>124</v>
      </c>
      <c r="R428" t="s">
        <v>86</v>
      </c>
      <c r="S428" t="s">
        <v>66</v>
      </c>
      <c r="T428" t="s">
        <v>66</v>
      </c>
      <c r="U428">
        <v>0</v>
      </c>
      <c r="V428">
        <v>0</v>
      </c>
      <c r="W428">
        <v>5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5</v>
      </c>
      <c r="AH428">
        <v>0</v>
      </c>
      <c r="AI428">
        <v>5</v>
      </c>
      <c r="AJ428">
        <v>2</v>
      </c>
      <c r="AK428">
        <v>34</v>
      </c>
      <c r="AL428">
        <v>3</v>
      </c>
      <c r="AM428">
        <v>43</v>
      </c>
      <c r="AN428">
        <v>2</v>
      </c>
      <c r="AO428" t="s">
        <v>2437</v>
      </c>
      <c r="AP428" t="s">
        <v>2438</v>
      </c>
      <c r="AQ428">
        <v>0.77800000000000002</v>
      </c>
      <c r="AR428" t="s">
        <v>69</v>
      </c>
      <c r="AS428">
        <v>77</v>
      </c>
      <c r="AT428">
        <v>5</v>
      </c>
      <c r="AU428">
        <v>0.03</v>
      </c>
      <c r="AV428">
        <v>-4.4999999999999997E-3</v>
      </c>
      <c r="AW428">
        <v>0.13575999999999999</v>
      </c>
      <c r="AX428">
        <v>-2.128E-2</v>
      </c>
      <c r="AY428">
        <v>2.32E-3</v>
      </c>
      <c r="AZ428">
        <v>-3.8999999999999999E-4</v>
      </c>
      <c r="BA428">
        <v>1.7090000000000001E-2</v>
      </c>
      <c r="BB428">
        <v>1</v>
      </c>
      <c r="BC428" t="s">
        <v>70</v>
      </c>
      <c r="BD428">
        <v>0.62</v>
      </c>
      <c r="BE428">
        <v>0.35699999999999998</v>
      </c>
      <c r="BF428" t="s">
        <v>71</v>
      </c>
      <c r="BG428">
        <v>0.10603588907014599</v>
      </c>
      <c r="BI428">
        <v>82</v>
      </c>
      <c r="BJ428">
        <v>1.7090000000000001E-2</v>
      </c>
      <c r="BK428">
        <v>0.10603588907014599</v>
      </c>
    </row>
    <row r="429" spans="1:63">
      <c r="A429">
        <v>2487</v>
      </c>
      <c r="B429" t="s">
        <v>2439</v>
      </c>
      <c r="D429" t="s">
        <v>66</v>
      </c>
      <c r="E429">
        <v>2532356</v>
      </c>
      <c r="F429">
        <v>2533009</v>
      </c>
      <c r="G429" t="s">
        <v>2441</v>
      </c>
      <c r="H429">
        <v>218</v>
      </c>
      <c r="I429" t="s">
        <v>85</v>
      </c>
      <c r="J429">
        <v>4</v>
      </c>
      <c r="K429" t="str">
        <f>HYPERLINK("Gene2487-zp_tree_all.dnd", "Gene2487-tree")</f>
        <v>Gene2487-tree</v>
      </c>
      <c r="L429">
        <v>2</v>
      </c>
      <c r="M429">
        <v>2</v>
      </c>
      <c r="N429">
        <v>2</v>
      </c>
      <c r="O429">
        <v>2</v>
      </c>
      <c r="P429">
        <v>0.5</v>
      </c>
      <c r="Q429" t="s">
        <v>124</v>
      </c>
      <c r="R429" t="s">
        <v>124</v>
      </c>
      <c r="S429" t="s">
        <v>66</v>
      </c>
      <c r="T429" t="s">
        <v>66</v>
      </c>
      <c r="U429">
        <v>0</v>
      </c>
      <c r="V429">
        <v>0</v>
      </c>
      <c r="W429">
        <v>6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6</v>
      </c>
      <c r="AH429">
        <v>0</v>
      </c>
      <c r="AI429">
        <v>3</v>
      </c>
      <c r="AJ429">
        <v>1</v>
      </c>
      <c r="AK429">
        <v>27</v>
      </c>
      <c r="AL429">
        <v>6</v>
      </c>
      <c r="AM429">
        <v>2</v>
      </c>
      <c r="AN429">
        <v>0</v>
      </c>
      <c r="AO429" t="s">
        <v>2442</v>
      </c>
      <c r="AP429" t="s">
        <v>68</v>
      </c>
      <c r="AQ429">
        <v>0.69899999999999995</v>
      </c>
      <c r="AR429" t="s">
        <v>69</v>
      </c>
      <c r="AS429">
        <v>29</v>
      </c>
      <c r="AT429">
        <v>6</v>
      </c>
      <c r="AU429">
        <v>2.7650000000000001E-2</v>
      </c>
      <c r="AV429">
        <v>-9.2099999999999994E-3</v>
      </c>
      <c r="AW429">
        <v>0.12186</v>
      </c>
      <c r="AX429">
        <v>-4.3950000000000003E-2</v>
      </c>
      <c r="AY429">
        <v>5.9699999999999996E-3</v>
      </c>
      <c r="AZ429">
        <v>-1.56E-3</v>
      </c>
      <c r="BA429">
        <v>4.9029999999999997E-2</v>
      </c>
      <c r="BB429">
        <v>1</v>
      </c>
      <c r="BC429" t="s">
        <v>70</v>
      </c>
      <c r="BD429">
        <v>-0.68300000000000005</v>
      </c>
      <c r="BE429">
        <v>-0.68300000000000005</v>
      </c>
      <c r="BF429" t="s">
        <v>71</v>
      </c>
      <c r="BG429">
        <v>0.13357400722021601</v>
      </c>
      <c r="BI429">
        <v>35</v>
      </c>
      <c r="BJ429">
        <v>4.9029999999999997E-2</v>
      </c>
      <c r="BK429">
        <v>0.13357400722021601</v>
      </c>
    </row>
    <row r="430" spans="1:63">
      <c r="A430">
        <v>2488</v>
      </c>
      <c r="B430" t="s">
        <v>2443</v>
      </c>
      <c r="D430" t="s">
        <v>66</v>
      </c>
      <c r="E430">
        <v>2533013</v>
      </c>
      <c r="F430">
        <v>2533699</v>
      </c>
      <c r="G430" t="s">
        <v>2445</v>
      </c>
      <c r="H430">
        <v>229</v>
      </c>
      <c r="I430" t="s">
        <v>63</v>
      </c>
      <c r="J430">
        <v>5</v>
      </c>
      <c r="K430" t="str">
        <f>HYPERLINK("Gene2488-zp_tree_all.dnd", "Gene2488-tree")</f>
        <v>Gene2488-tree</v>
      </c>
      <c r="L430">
        <v>2</v>
      </c>
      <c r="M430">
        <v>3</v>
      </c>
      <c r="N430">
        <v>2</v>
      </c>
      <c r="O430">
        <v>3</v>
      </c>
      <c r="P430">
        <v>0.6</v>
      </c>
      <c r="Q430" t="s">
        <v>124</v>
      </c>
      <c r="R430" t="s">
        <v>86</v>
      </c>
      <c r="S430" t="s">
        <v>66</v>
      </c>
      <c r="T430" t="s">
        <v>66</v>
      </c>
      <c r="U430">
        <v>0</v>
      </c>
      <c r="V430">
        <v>0</v>
      </c>
      <c r="W430">
        <v>8</v>
      </c>
      <c r="X430">
        <v>0</v>
      </c>
      <c r="Y430">
        <v>0</v>
      </c>
      <c r="Z430">
        <v>0</v>
      </c>
      <c r="AA430">
        <v>0</v>
      </c>
      <c r="AB430">
        <v>4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2</v>
      </c>
      <c r="AK430">
        <v>10</v>
      </c>
      <c r="AL430">
        <v>4</v>
      </c>
      <c r="AM430">
        <v>19</v>
      </c>
      <c r="AN430">
        <v>5</v>
      </c>
      <c r="AO430" t="s">
        <v>2446</v>
      </c>
      <c r="AP430" t="s">
        <v>2447</v>
      </c>
      <c r="AQ430">
        <v>0.44</v>
      </c>
      <c r="AR430" t="s">
        <v>69</v>
      </c>
      <c r="AS430">
        <v>29</v>
      </c>
      <c r="AT430">
        <v>9</v>
      </c>
      <c r="AU430">
        <v>2.809E-2</v>
      </c>
      <c r="AV430">
        <v>-5.1599999999999997E-3</v>
      </c>
      <c r="AW430">
        <v>0.10492</v>
      </c>
      <c r="AX430">
        <v>-2.0629999999999999E-2</v>
      </c>
      <c r="AY430">
        <v>8.6999999999999994E-3</v>
      </c>
      <c r="AZ430">
        <v>-1.5E-3</v>
      </c>
      <c r="BA430">
        <v>8.2890000000000005E-2</v>
      </c>
      <c r="BB430">
        <v>1</v>
      </c>
      <c r="BC430" t="s">
        <v>70</v>
      </c>
      <c r="BD430">
        <v>0.877</v>
      </c>
      <c r="BE430">
        <v>0.66</v>
      </c>
      <c r="BF430" t="s">
        <v>71</v>
      </c>
      <c r="BG430">
        <v>2.8368794326241099E-2</v>
      </c>
      <c r="BI430">
        <v>38</v>
      </c>
      <c r="BJ430">
        <v>8.2890000000000005E-2</v>
      </c>
      <c r="BK430">
        <v>2.8368794326241099E-2</v>
      </c>
    </row>
    <row r="431" spans="1:63">
      <c r="A431">
        <v>2489</v>
      </c>
      <c r="B431" t="s">
        <v>2448</v>
      </c>
      <c r="D431" t="s">
        <v>66</v>
      </c>
      <c r="E431">
        <v>2533695</v>
      </c>
      <c r="F431">
        <v>2534312</v>
      </c>
      <c r="G431" t="s">
        <v>2450</v>
      </c>
      <c r="H431">
        <v>206</v>
      </c>
      <c r="I431" t="s">
        <v>63</v>
      </c>
      <c r="J431">
        <v>5</v>
      </c>
      <c r="K431" t="str">
        <f>HYPERLINK("Gene2489-zp_tree_all.dnd", "Gene2489-tree")</f>
        <v>Gene2489-tree</v>
      </c>
      <c r="L431">
        <v>1</v>
      </c>
      <c r="M431">
        <v>4</v>
      </c>
      <c r="N431">
        <v>1</v>
      </c>
      <c r="O431">
        <v>4</v>
      </c>
      <c r="P431">
        <v>0.8</v>
      </c>
      <c r="Q431" t="s">
        <v>65</v>
      </c>
      <c r="R431" t="s">
        <v>64</v>
      </c>
      <c r="S431" t="s">
        <v>66</v>
      </c>
      <c r="T431" t="s">
        <v>66</v>
      </c>
      <c r="U431">
        <v>2</v>
      </c>
      <c r="V431">
        <v>4</v>
      </c>
      <c r="W431">
        <v>7</v>
      </c>
      <c r="X431">
        <v>0.36364000000000002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4</v>
      </c>
      <c r="AF431">
        <v>4</v>
      </c>
      <c r="AG431">
        <v>7</v>
      </c>
      <c r="AH431">
        <v>0.36364000000000002</v>
      </c>
      <c r="AI431">
        <v>5</v>
      </c>
      <c r="AJ431">
        <v>1</v>
      </c>
      <c r="AK431">
        <v>12</v>
      </c>
      <c r="AL431">
        <v>7</v>
      </c>
      <c r="AM431">
        <v>10</v>
      </c>
      <c r="AN431">
        <v>4</v>
      </c>
      <c r="AO431" t="s">
        <v>2451</v>
      </c>
      <c r="AP431" t="s">
        <v>2452</v>
      </c>
      <c r="AQ431">
        <v>0.436</v>
      </c>
      <c r="AR431" t="s">
        <v>69</v>
      </c>
      <c r="AS431">
        <v>22</v>
      </c>
      <c r="AT431">
        <v>11</v>
      </c>
      <c r="AU431">
        <v>2.589E-2</v>
      </c>
      <c r="AV431">
        <v>-4.6299999999999996E-3</v>
      </c>
      <c r="AW431">
        <v>8.7929999999999994E-2</v>
      </c>
      <c r="AX431">
        <v>-1.7670000000000002E-2</v>
      </c>
      <c r="AY431">
        <v>1.082E-2</v>
      </c>
      <c r="AZ431">
        <v>-1.67E-3</v>
      </c>
      <c r="BA431">
        <v>0.12307999999999999</v>
      </c>
      <c r="BB431">
        <v>1</v>
      </c>
      <c r="BC431" t="s">
        <v>70</v>
      </c>
      <c r="BD431">
        <v>7.5999999999999998E-2</v>
      </c>
      <c r="BE431">
        <v>7.5999999999999998E-2</v>
      </c>
      <c r="BF431" t="s">
        <v>71</v>
      </c>
      <c r="BG431">
        <v>4.9429657794676798E-2</v>
      </c>
      <c r="BI431">
        <v>33</v>
      </c>
      <c r="BJ431">
        <v>0.12307999999999999</v>
      </c>
      <c r="BK431">
        <v>4.9429657794676798E-2</v>
      </c>
    </row>
    <row r="432" spans="1:63">
      <c r="A432">
        <v>2491</v>
      </c>
      <c r="B432" t="s">
        <v>2453</v>
      </c>
      <c r="D432" t="s">
        <v>66</v>
      </c>
      <c r="E432">
        <v>2535547</v>
      </c>
      <c r="F432">
        <v>2535945</v>
      </c>
      <c r="G432" t="s">
        <v>2455</v>
      </c>
      <c r="H432">
        <v>133</v>
      </c>
      <c r="I432" t="s">
        <v>63</v>
      </c>
      <c r="J432">
        <v>5</v>
      </c>
      <c r="K432" t="str">
        <f>HYPERLINK("Gene2491-zp_tree_all.dnd", "Gene2491-tree")</f>
        <v>Gene2491-tree</v>
      </c>
      <c r="L432">
        <v>5</v>
      </c>
      <c r="M432">
        <v>0</v>
      </c>
      <c r="N432">
        <v>4</v>
      </c>
      <c r="O432">
        <v>0</v>
      </c>
      <c r="P432">
        <v>0</v>
      </c>
      <c r="Q432" t="s">
        <v>135</v>
      </c>
      <c r="R432" t="s">
        <v>66</v>
      </c>
      <c r="S432" t="s">
        <v>66</v>
      </c>
      <c r="T432" t="s">
        <v>66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4</v>
      </c>
      <c r="AJ432">
        <v>1</v>
      </c>
      <c r="AK432">
        <v>11</v>
      </c>
      <c r="AL432">
        <v>0</v>
      </c>
      <c r="AM432">
        <v>7</v>
      </c>
      <c r="AN432">
        <v>0</v>
      </c>
      <c r="AO432" t="s">
        <v>68</v>
      </c>
      <c r="AP432" t="s">
        <v>68</v>
      </c>
      <c r="AQ432">
        <v>0</v>
      </c>
      <c r="AR432" t="s">
        <v>69</v>
      </c>
      <c r="AS432">
        <v>18</v>
      </c>
      <c r="AT432">
        <v>0</v>
      </c>
      <c r="AU432">
        <v>2.4639999999999999E-2</v>
      </c>
      <c r="AV432">
        <v>-3.5200000000000001E-3</v>
      </c>
      <c r="AW432">
        <v>0.11219</v>
      </c>
      <c r="AX432">
        <v>-1.66E-2</v>
      </c>
      <c r="AY432">
        <v>0</v>
      </c>
      <c r="AZ432">
        <v>0</v>
      </c>
      <c r="BA432">
        <v>0</v>
      </c>
      <c r="BB432">
        <v>1</v>
      </c>
      <c r="BC432" t="s">
        <v>70</v>
      </c>
      <c r="BD432">
        <v>0.39600000000000002</v>
      </c>
      <c r="BE432">
        <v>0.39600000000000002</v>
      </c>
      <c r="BF432" t="s">
        <v>71</v>
      </c>
      <c r="BG432">
        <v>1.9607843137254902E-2</v>
      </c>
      <c r="BI432">
        <v>18</v>
      </c>
      <c r="BJ432">
        <v>0</v>
      </c>
      <c r="BK432">
        <v>1.9607843137254902E-2</v>
      </c>
    </row>
    <row r="433" spans="1:63">
      <c r="A433">
        <v>2493</v>
      </c>
      <c r="B433" t="s">
        <v>2459</v>
      </c>
      <c r="D433" t="s">
        <v>66</v>
      </c>
      <c r="E433">
        <v>2536184</v>
      </c>
      <c r="F433">
        <v>2536696</v>
      </c>
      <c r="G433" t="s">
        <v>2461</v>
      </c>
      <c r="H433">
        <v>171</v>
      </c>
      <c r="I433" t="s">
        <v>106</v>
      </c>
      <c r="J433">
        <v>4</v>
      </c>
      <c r="K433" t="str">
        <f>HYPERLINK("Gene2493-zp_tree_all.dnd", "Gene2493-tree")</f>
        <v>Gene2493-tree</v>
      </c>
      <c r="L433">
        <v>1</v>
      </c>
      <c r="M433">
        <v>3</v>
      </c>
      <c r="N433">
        <v>1</v>
      </c>
      <c r="O433">
        <v>3</v>
      </c>
      <c r="P433">
        <v>0.75</v>
      </c>
      <c r="Q433" t="s">
        <v>65</v>
      </c>
      <c r="R433" t="s">
        <v>86</v>
      </c>
      <c r="S433" t="s">
        <v>66</v>
      </c>
      <c r="T433" t="s">
        <v>66</v>
      </c>
      <c r="U433">
        <v>0</v>
      </c>
      <c r="V433">
        <v>0</v>
      </c>
      <c r="W433">
        <v>6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6</v>
      </c>
      <c r="AH433">
        <v>0</v>
      </c>
      <c r="AI433">
        <v>3</v>
      </c>
      <c r="AJ433">
        <v>1</v>
      </c>
      <c r="AK433">
        <v>17</v>
      </c>
      <c r="AL433">
        <v>7</v>
      </c>
      <c r="AM433">
        <v>1</v>
      </c>
      <c r="AN433">
        <v>0</v>
      </c>
      <c r="AO433" t="s">
        <v>2462</v>
      </c>
      <c r="AP433" t="s">
        <v>68</v>
      </c>
      <c r="AQ433">
        <v>0.96699999999999997</v>
      </c>
      <c r="AR433" t="s">
        <v>69</v>
      </c>
      <c r="AS433">
        <v>18</v>
      </c>
      <c r="AT433">
        <v>7</v>
      </c>
      <c r="AU433">
        <v>2.4369999999999999E-2</v>
      </c>
      <c r="AV433">
        <v>-7.0800000000000004E-3</v>
      </c>
      <c r="AW433">
        <v>8.3699999999999997E-2</v>
      </c>
      <c r="AX433">
        <v>-2.6110000000000001E-2</v>
      </c>
      <c r="AY433">
        <v>8.9200000000000008E-3</v>
      </c>
      <c r="AZ433">
        <v>-2.31E-3</v>
      </c>
      <c r="BA433">
        <v>0.10655000000000001</v>
      </c>
      <c r="BB433">
        <v>1</v>
      </c>
      <c r="BC433" t="s">
        <v>70</v>
      </c>
      <c r="BD433">
        <v>-0.46500000000000002</v>
      </c>
      <c r="BE433">
        <v>-0.85799999999999998</v>
      </c>
      <c r="BF433" t="s">
        <v>71</v>
      </c>
      <c r="BG433">
        <v>8.7301587301587297E-2</v>
      </c>
      <c r="BI433">
        <v>25</v>
      </c>
      <c r="BJ433">
        <v>0.10655000000000001</v>
      </c>
      <c r="BK433">
        <v>8.7301587301587297E-2</v>
      </c>
    </row>
    <row r="434" spans="1:63">
      <c r="A434">
        <v>2496</v>
      </c>
      <c r="B434" t="s">
        <v>2463</v>
      </c>
      <c r="D434" t="s">
        <v>66</v>
      </c>
      <c r="E434">
        <v>2538118</v>
      </c>
      <c r="F434">
        <v>2538672</v>
      </c>
      <c r="G434" t="s">
        <v>2465</v>
      </c>
      <c r="H434">
        <v>185</v>
      </c>
      <c r="I434" t="s">
        <v>63</v>
      </c>
      <c r="J434">
        <v>5</v>
      </c>
      <c r="K434" t="str">
        <f>HYPERLINK("Gene2496-zp_tree_all.dnd", "Gene2496-tree")</f>
        <v>Gene2496-tree</v>
      </c>
      <c r="L434">
        <v>4</v>
      </c>
      <c r="M434">
        <v>1</v>
      </c>
      <c r="N434">
        <v>3</v>
      </c>
      <c r="O434">
        <v>1</v>
      </c>
      <c r="P434">
        <v>0.25</v>
      </c>
      <c r="Q434" t="s">
        <v>112</v>
      </c>
      <c r="R434" t="s">
        <v>65</v>
      </c>
      <c r="S434" t="s">
        <v>66</v>
      </c>
      <c r="T434" t="s">
        <v>66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</v>
      </c>
      <c r="AH434">
        <v>0</v>
      </c>
      <c r="AI434">
        <v>4</v>
      </c>
      <c r="AJ434">
        <v>1</v>
      </c>
      <c r="AK434">
        <v>18</v>
      </c>
      <c r="AL434">
        <v>1</v>
      </c>
      <c r="AM434">
        <v>12</v>
      </c>
      <c r="AN434">
        <v>0</v>
      </c>
      <c r="AO434" t="s">
        <v>2466</v>
      </c>
      <c r="AP434" t="s">
        <v>68</v>
      </c>
      <c r="AQ434">
        <v>0.55800000000000005</v>
      </c>
      <c r="AR434" t="s">
        <v>69</v>
      </c>
      <c r="AS434">
        <v>30</v>
      </c>
      <c r="AT434">
        <v>1</v>
      </c>
      <c r="AU434">
        <v>3.1530000000000002E-2</v>
      </c>
      <c r="AV434">
        <v>-5.0000000000000001E-3</v>
      </c>
      <c r="AW434">
        <v>0.14388000000000001</v>
      </c>
      <c r="AX434">
        <v>-2.528E-2</v>
      </c>
      <c r="AY434">
        <v>1.1800000000000001E-3</v>
      </c>
      <c r="AZ434">
        <v>-3.4000000000000002E-4</v>
      </c>
      <c r="BA434">
        <v>8.2299999999999995E-3</v>
      </c>
      <c r="BB434">
        <v>1</v>
      </c>
      <c r="BC434" t="s">
        <v>70</v>
      </c>
      <c r="BD434">
        <v>0.06</v>
      </c>
      <c r="BE434">
        <v>0.06</v>
      </c>
      <c r="BF434" t="s">
        <v>71</v>
      </c>
      <c r="BG434">
        <v>4.5643153526970903E-2</v>
      </c>
      <c r="BI434">
        <v>31</v>
      </c>
      <c r="BJ434">
        <v>8.2299999999999995E-3</v>
      </c>
      <c r="BK434">
        <v>4.5643153526970903E-2</v>
      </c>
    </row>
    <row r="435" spans="1:63">
      <c r="A435">
        <v>2497</v>
      </c>
      <c r="B435" t="s">
        <v>2467</v>
      </c>
      <c r="D435" t="s">
        <v>66</v>
      </c>
      <c r="E435">
        <v>2538700</v>
      </c>
      <c r="F435">
        <v>2539758</v>
      </c>
      <c r="G435" t="s">
        <v>2469</v>
      </c>
      <c r="H435">
        <v>353</v>
      </c>
      <c r="I435" t="s">
        <v>85</v>
      </c>
      <c r="J435">
        <v>4</v>
      </c>
      <c r="K435" t="str">
        <f>HYPERLINK("Gene2497-zp_tree_all.dnd", "Gene2497-tree")</f>
        <v>Gene2497-tree</v>
      </c>
      <c r="L435">
        <v>0</v>
      </c>
      <c r="M435">
        <v>4</v>
      </c>
      <c r="N435">
        <v>0</v>
      </c>
      <c r="O435">
        <v>4</v>
      </c>
      <c r="P435">
        <v>1</v>
      </c>
      <c r="Q435" t="s">
        <v>66</v>
      </c>
      <c r="R435" t="s">
        <v>64</v>
      </c>
      <c r="S435" t="s">
        <v>66</v>
      </c>
      <c r="T435" t="s">
        <v>66</v>
      </c>
      <c r="U435">
        <v>0</v>
      </c>
      <c r="V435">
        <v>0</v>
      </c>
      <c r="W435">
        <v>13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13</v>
      </c>
      <c r="AH435">
        <v>0</v>
      </c>
      <c r="AI435">
        <v>4</v>
      </c>
      <c r="AJ435">
        <v>1</v>
      </c>
      <c r="AK435">
        <v>42</v>
      </c>
      <c r="AL435">
        <v>12</v>
      </c>
      <c r="AM435">
        <v>5</v>
      </c>
      <c r="AN435">
        <v>1</v>
      </c>
      <c r="AO435" t="s">
        <v>2470</v>
      </c>
      <c r="AP435" t="s">
        <v>2471</v>
      </c>
      <c r="AQ435">
        <v>0.158</v>
      </c>
      <c r="AR435" t="s">
        <v>69</v>
      </c>
      <c r="AS435">
        <v>47</v>
      </c>
      <c r="AT435">
        <v>13</v>
      </c>
      <c r="AU435">
        <v>2.912E-2</v>
      </c>
      <c r="AV435">
        <v>-8.1200000000000005E-3</v>
      </c>
      <c r="AW435">
        <v>0.10811</v>
      </c>
      <c r="AX435">
        <v>-3.4410000000000003E-2</v>
      </c>
      <c r="AY435">
        <v>8.3000000000000001E-3</v>
      </c>
      <c r="AZ435">
        <v>-1.4599999999999999E-3</v>
      </c>
      <c r="BA435">
        <v>7.6749999999999999E-2</v>
      </c>
      <c r="BB435">
        <v>1</v>
      </c>
      <c r="BC435" t="s">
        <v>70</v>
      </c>
      <c r="BD435">
        <v>-0.437</v>
      </c>
      <c r="BE435">
        <v>-0.59899999999999998</v>
      </c>
      <c r="BF435" t="s">
        <v>71</v>
      </c>
      <c r="BG435">
        <v>0.13026052104208399</v>
      </c>
      <c r="BI435">
        <v>60</v>
      </c>
      <c r="BJ435">
        <v>7.6749999999999999E-2</v>
      </c>
      <c r="BK435">
        <v>0.13026052104208399</v>
      </c>
    </row>
    <row r="436" spans="1:63">
      <c r="A436">
        <v>2498</v>
      </c>
      <c r="B436" t="s">
        <v>2472</v>
      </c>
      <c r="D436" t="s">
        <v>66</v>
      </c>
      <c r="E436">
        <v>2539758</v>
      </c>
      <c r="F436">
        <v>2540201</v>
      </c>
      <c r="G436" t="s">
        <v>2474</v>
      </c>
      <c r="H436">
        <v>148</v>
      </c>
      <c r="I436" t="s">
        <v>63</v>
      </c>
      <c r="J436">
        <v>5</v>
      </c>
      <c r="K436" t="str">
        <f>HYPERLINK("Gene2498-zp_tree_all.dnd", "Gene2498-tree")</f>
        <v>Gene2498-tree</v>
      </c>
      <c r="L436">
        <v>0</v>
      </c>
      <c r="M436">
        <v>5</v>
      </c>
      <c r="N436">
        <v>0</v>
      </c>
      <c r="O436">
        <v>5</v>
      </c>
      <c r="P436">
        <v>1</v>
      </c>
      <c r="Q436" t="s">
        <v>66</v>
      </c>
      <c r="R436" t="s">
        <v>96</v>
      </c>
      <c r="S436" t="s">
        <v>66</v>
      </c>
      <c r="T436" t="s">
        <v>66</v>
      </c>
      <c r="U436">
        <v>0</v>
      </c>
      <c r="V436">
        <v>0</v>
      </c>
      <c r="W436">
        <v>6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6</v>
      </c>
      <c r="AH436">
        <v>0</v>
      </c>
      <c r="AI436">
        <v>4</v>
      </c>
      <c r="AJ436">
        <v>2</v>
      </c>
      <c r="AK436">
        <v>11</v>
      </c>
      <c r="AL436">
        <v>4</v>
      </c>
      <c r="AM436">
        <v>14</v>
      </c>
      <c r="AN436">
        <v>3</v>
      </c>
      <c r="AO436" t="s">
        <v>2475</v>
      </c>
      <c r="AP436" t="s">
        <v>2476</v>
      </c>
      <c r="AQ436">
        <v>1.5589999999999999</v>
      </c>
      <c r="AR436" t="s">
        <v>69</v>
      </c>
      <c r="AS436">
        <v>25</v>
      </c>
      <c r="AT436">
        <v>7</v>
      </c>
      <c r="AU436">
        <v>3.5810000000000002E-2</v>
      </c>
      <c r="AV436">
        <v>-5.2900000000000004E-3</v>
      </c>
      <c r="AW436">
        <v>0.13406000000000001</v>
      </c>
      <c r="AX436">
        <v>-2.315E-2</v>
      </c>
      <c r="AY436">
        <v>1.0120000000000001E-2</v>
      </c>
      <c r="AZ436">
        <v>-1.14E-3</v>
      </c>
      <c r="BA436">
        <v>7.5520000000000004E-2</v>
      </c>
      <c r="BB436">
        <v>1</v>
      </c>
      <c r="BC436" t="s">
        <v>70</v>
      </c>
      <c r="BD436">
        <v>0.51300000000000001</v>
      </c>
      <c r="BE436">
        <v>0.26100000000000001</v>
      </c>
      <c r="BF436" t="s">
        <v>71</v>
      </c>
      <c r="BG436">
        <v>9.85915492957746E-2</v>
      </c>
      <c r="BI436">
        <v>32</v>
      </c>
      <c r="BJ436">
        <v>7.5520000000000004E-2</v>
      </c>
      <c r="BK436">
        <v>9.85915492957746E-2</v>
      </c>
    </row>
    <row r="437" spans="1:63">
      <c r="A437">
        <v>2502</v>
      </c>
      <c r="B437" t="s">
        <v>2480</v>
      </c>
      <c r="D437" t="s">
        <v>66</v>
      </c>
      <c r="E437">
        <v>2542442</v>
      </c>
      <c r="F437">
        <v>2543314</v>
      </c>
      <c r="G437" t="s">
        <v>74</v>
      </c>
      <c r="H437">
        <v>291</v>
      </c>
      <c r="I437" t="s">
        <v>63</v>
      </c>
      <c r="J437">
        <v>5</v>
      </c>
      <c r="K437" t="str">
        <f>HYPERLINK("Gene2502-zp_tree_all.dnd", "Gene2502-tree")</f>
        <v>Gene2502-tree</v>
      </c>
      <c r="L437">
        <v>1</v>
      </c>
      <c r="M437">
        <v>4</v>
      </c>
      <c r="N437">
        <v>1</v>
      </c>
      <c r="O437">
        <v>4</v>
      </c>
      <c r="P437">
        <v>0.8</v>
      </c>
      <c r="Q437" t="s">
        <v>65</v>
      </c>
      <c r="R437" t="s">
        <v>64</v>
      </c>
      <c r="S437" t="s">
        <v>66</v>
      </c>
      <c r="T437" t="s">
        <v>66</v>
      </c>
      <c r="U437">
        <v>2</v>
      </c>
      <c r="V437">
        <v>4</v>
      </c>
      <c r="W437">
        <v>7</v>
      </c>
      <c r="X437">
        <v>0.36364000000000002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4</v>
      </c>
      <c r="AE437">
        <v>0</v>
      </c>
      <c r="AF437">
        <v>4</v>
      </c>
      <c r="AG437">
        <v>7</v>
      </c>
      <c r="AH437">
        <v>0.36364000000000002</v>
      </c>
      <c r="AI437">
        <v>5</v>
      </c>
      <c r="AJ437">
        <v>2</v>
      </c>
      <c r="AK437">
        <v>29</v>
      </c>
      <c r="AL437">
        <v>8</v>
      </c>
      <c r="AM437">
        <v>32</v>
      </c>
      <c r="AN437">
        <v>3</v>
      </c>
      <c r="AO437" t="s">
        <v>2482</v>
      </c>
      <c r="AP437" t="s">
        <v>2483</v>
      </c>
      <c r="AQ437">
        <v>1.8660000000000001</v>
      </c>
      <c r="AR437" t="s">
        <v>69</v>
      </c>
      <c r="AS437">
        <v>61</v>
      </c>
      <c r="AT437">
        <v>11</v>
      </c>
      <c r="AU437">
        <v>3.746E-2</v>
      </c>
      <c r="AV437">
        <v>-5.3E-3</v>
      </c>
      <c r="AW437">
        <v>0.15753</v>
      </c>
      <c r="AX437">
        <v>-2.555E-2</v>
      </c>
      <c r="AY437">
        <v>6.6100000000000004E-3</v>
      </c>
      <c r="AZ437">
        <v>-6.4999999999999997E-4</v>
      </c>
      <c r="BA437">
        <v>4.197E-2</v>
      </c>
      <c r="BB437">
        <v>1</v>
      </c>
      <c r="BC437" t="s">
        <v>70</v>
      </c>
      <c r="BD437">
        <v>1.024</v>
      </c>
      <c r="BE437">
        <v>0.26300000000000001</v>
      </c>
      <c r="BF437" t="s">
        <v>71</v>
      </c>
      <c r="BG437">
        <v>0.10024449877750601</v>
      </c>
      <c r="BI437">
        <v>72</v>
      </c>
      <c r="BJ437">
        <v>4.197E-2</v>
      </c>
      <c r="BK437">
        <v>0.10024449877750601</v>
      </c>
    </row>
    <row r="438" spans="1:63">
      <c r="A438">
        <v>2503</v>
      </c>
      <c r="B438" t="s">
        <v>2484</v>
      </c>
      <c r="D438" t="s">
        <v>66</v>
      </c>
      <c r="E438">
        <v>2543443</v>
      </c>
      <c r="F438">
        <v>2543868</v>
      </c>
      <c r="G438" t="s">
        <v>2486</v>
      </c>
      <c r="H438">
        <v>142</v>
      </c>
      <c r="I438" t="s">
        <v>63</v>
      </c>
      <c r="J438">
        <v>5</v>
      </c>
      <c r="K438" t="str">
        <f>HYPERLINK("Gene2503-zp_tree_all.dnd", "Gene2503-tree")</f>
        <v>Gene2503-tree</v>
      </c>
      <c r="L438">
        <v>3</v>
      </c>
      <c r="M438">
        <v>2</v>
      </c>
      <c r="N438">
        <v>2</v>
      </c>
      <c r="O438">
        <v>2</v>
      </c>
      <c r="P438">
        <v>0.5</v>
      </c>
      <c r="Q438" t="s">
        <v>185</v>
      </c>
      <c r="R438" t="s">
        <v>124</v>
      </c>
      <c r="S438" t="s">
        <v>66</v>
      </c>
      <c r="T438" t="s">
        <v>66</v>
      </c>
      <c r="U438">
        <v>0</v>
      </c>
      <c r="V438">
        <v>0</v>
      </c>
      <c r="W438">
        <v>2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2</v>
      </c>
      <c r="AH438">
        <v>0</v>
      </c>
      <c r="AI438">
        <v>3</v>
      </c>
      <c r="AJ438">
        <v>1</v>
      </c>
      <c r="AK438">
        <v>6</v>
      </c>
      <c r="AL438">
        <v>2</v>
      </c>
      <c r="AM438">
        <v>3</v>
      </c>
      <c r="AN438">
        <v>0</v>
      </c>
      <c r="AO438" t="s">
        <v>2487</v>
      </c>
      <c r="AP438" t="s">
        <v>68</v>
      </c>
      <c r="AQ438">
        <v>2.5819999999999999</v>
      </c>
      <c r="AR438" t="s">
        <v>239</v>
      </c>
      <c r="AS438">
        <v>9</v>
      </c>
      <c r="AT438">
        <v>2</v>
      </c>
      <c r="AU438">
        <v>1.418E-2</v>
      </c>
      <c r="AV438">
        <v>-1.9300000000000001E-3</v>
      </c>
      <c r="AW438">
        <v>5.8189999999999999E-2</v>
      </c>
      <c r="AX438">
        <v>-9.4699999999999993E-3</v>
      </c>
      <c r="AY438">
        <v>3.0100000000000001E-3</v>
      </c>
      <c r="AZ438">
        <v>-5.0000000000000001E-4</v>
      </c>
      <c r="BA438">
        <v>5.1720000000000002E-2</v>
      </c>
      <c r="BB438">
        <v>1</v>
      </c>
      <c r="BC438" t="s">
        <v>70</v>
      </c>
      <c r="BD438">
        <v>-0.38200000000000001</v>
      </c>
      <c r="BE438">
        <v>-0.38200000000000001</v>
      </c>
      <c r="BF438" t="s">
        <v>71</v>
      </c>
      <c r="BG438">
        <v>0.165562913907284</v>
      </c>
      <c r="BI438">
        <v>11</v>
      </c>
      <c r="BJ438">
        <v>5.1720000000000002E-2</v>
      </c>
      <c r="BK438">
        <v>0.165562913907284</v>
      </c>
    </row>
    <row r="439" spans="1:63">
      <c r="A439">
        <v>2504</v>
      </c>
      <c r="B439" t="s">
        <v>2488</v>
      </c>
      <c r="D439" t="s">
        <v>66</v>
      </c>
      <c r="E439">
        <v>2543971</v>
      </c>
      <c r="F439">
        <v>2544804</v>
      </c>
      <c r="G439" t="s">
        <v>2490</v>
      </c>
      <c r="H439">
        <v>278</v>
      </c>
      <c r="I439" t="s">
        <v>85</v>
      </c>
      <c r="J439">
        <v>4</v>
      </c>
      <c r="K439" t="str">
        <f>HYPERLINK("Gene2504-zp_tree_all.dnd", "Gene2504-tree")</f>
        <v>Gene2504-tree</v>
      </c>
      <c r="L439">
        <v>1</v>
      </c>
      <c r="M439">
        <v>3</v>
      </c>
      <c r="N439">
        <v>1</v>
      </c>
      <c r="O439">
        <v>3</v>
      </c>
      <c r="P439">
        <v>0.75</v>
      </c>
      <c r="Q439" t="s">
        <v>65</v>
      </c>
      <c r="R439" t="s">
        <v>86</v>
      </c>
      <c r="S439" t="s">
        <v>66</v>
      </c>
      <c r="T439" t="s">
        <v>66</v>
      </c>
      <c r="U439">
        <v>0</v>
      </c>
      <c r="V439">
        <v>0</v>
      </c>
      <c r="W439">
        <v>6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6</v>
      </c>
      <c r="AH439">
        <v>0</v>
      </c>
      <c r="AI439">
        <v>4</v>
      </c>
      <c r="AJ439">
        <v>1</v>
      </c>
      <c r="AK439">
        <v>44</v>
      </c>
      <c r="AL439">
        <v>6</v>
      </c>
      <c r="AM439">
        <v>5</v>
      </c>
      <c r="AN439">
        <v>0</v>
      </c>
      <c r="AO439" t="s">
        <v>2491</v>
      </c>
      <c r="AP439" t="s">
        <v>68</v>
      </c>
      <c r="AQ439">
        <v>0.99</v>
      </c>
      <c r="AR439" t="s">
        <v>69</v>
      </c>
      <c r="AS439">
        <v>49</v>
      </c>
      <c r="AT439">
        <v>6</v>
      </c>
      <c r="AU439">
        <v>3.3169999999999998E-2</v>
      </c>
      <c r="AV439">
        <v>-7.5300000000000002E-3</v>
      </c>
      <c r="AW439">
        <v>0.15168000000000001</v>
      </c>
      <c r="AX439">
        <v>-3.8120000000000001E-2</v>
      </c>
      <c r="AY439">
        <v>4.6499999999999996E-3</v>
      </c>
      <c r="AZ439">
        <v>-8.1999999999999998E-4</v>
      </c>
      <c r="BA439">
        <v>3.0640000000000001E-2</v>
      </c>
      <c r="BB439">
        <v>1</v>
      </c>
      <c r="BC439" t="s">
        <v>70</v>
      </c>
      <c r="BD439">
        <v>-0.44800000000000001</v>
      </c>
      <c r="BE439">
        <v>-0.628</v>
      </c>
      <c r="BF439" t="s">
        <v>71</v>
      </c>
      <c r="BG439">
        <v>0.138211382113821</v>
      </c>
      <c r="BI439">
        <v>55</v>
      </c>
      <c r="BJ439">
        <v>3.0640000000000001E-2</v>
      </c>
      <c r="BK439">
        <v>0.138211382113821</v>
      </c>
    </row>
    <row r="440" spans="1:63">
      <c r="A440">
        <v>2528</v>
      </c>
      <c r="B440" t="s">
        <v>2500</v>
      </c>
      <c r="D440" t="s">
        <v>66</v>
      </c>
      <c r="E440">
        <v>2564029</v>
      </c>
      <c r="F440">
        <v>2564406</v>
      </c>
      <c r="G440" t="s">
        <v>2502</v>
      </c>
      <c r="H440">
        <v>126</v>
      </c>
      <c r="I440" t="s">
        <v>63</v>
      </c>
      <c r="J440">
        <v>5</v>
      </c>
      <c r="K440" t="str">
        <f>HYPERLINK("Gene2528-zp_tree_all.dnd", "Gene2528-tree")</f>
        <v>Gene2528-tree</v>
      </c>
      <c r="L440">
        <v>3</v>
      </c>
      <c r="M440">
        <v>2</v>
      </c>
      <c r="N440">
        <v>3</v>
      </c>
      <c r="O440">
        <v>1</v>
      </c>
      <c r="P440">
        <v>0.25</v>
      </c>
      <c r="Q440" t="s">
        <v>86</v>
      </c>
      <c r="R440" t="s">
        <v>65</v>
      </c>
      <c r="S440" t="s">
        <v>66</v>
      </c>
      <c r="T440" t="s">
        <v>66</v>
      </c>
      <c r="U440">
        <v>1</v>
      </c>
      <c r="V440">
        <v>2</v>
      </c>
      <c r="W440">
        <v>2</v>
      </c>
      <c r="X440">
        <v>0.5</v>
      </c>
      <c r="Y440">
        <v>0</v>
      </c>
      <c r="Z440">
        <v>0</v>
      </c>
      <c r="AA440">
        <v>0</v>
      </c>
      <c r="AB440">
        <v>3</v>
      </c>
      <c r="AC440">
        <v>0</v>
      </c>
      <c r="AD440">
        <v>0</v>
      </c>
      <c r="AE440">
        <v>0</v>
      </c>
      <c r="AF440">
        <v>0</v>
      </c>
      <c r="AG440">
        <v>1</v>
      </c>
      <c r="AH440">
        <v>0</v>
      </c>
      <c r="AI440">
        <v>4</v>
      </c>
      <c r="AJ440">
        <v>1</v>
      </c>
      <c r="AK440">
        <v>7</v>
      </c>
      <c r="AL440">
        <v>1</v>
      </c>
      <c r="AM440">
        <v>11</v>
      </c>
      <c r="AN440">
        <v>3</v>
      </c>
      <c r="AO440" t="s">
        <v>2503</v>
      </c>
      <c r="AP440" t="s">
        <v>2504</v>
      </c>
      <c r="AQ440">
        <v>0.47699999999999998</v>
      </c>
      <c r="AR440" t="s">
        <v>69</v>
      </c>
      <c r="AS440">
        <v>18</v>
      </c>
      <c r="AT440">
        <v>4</v>
      </c>
      <c r="AU440">
        <v>3.6130000000000002E-2</v>
      </c>
      <c r="AV440">
        <v>-7.3600000000000002E-3</v>
      </c>
      <c r="AW440">
        <v>0.15134</v>
      </c>
      <c r="AX440">
        <v>-3.1460000000000002E-2</v>
      </c>
      <c r="AY440">
        <v>8.7500000000000008E-3</v>
      </c>
      <c r="AZ440">
        <v>-2.15E-3</v>
      </c>
      <c r="BA440">
        <v>5.781E-2</v>
      </c>
      <c r="BB440">
        <v>1</v>
      </c>
      <c r="BC440" t="s">
        <v>70</v>
      </c>
      <c r="BD440">
        <v>1.0109999999999999</v>
      </c>
      <c r="BE440">
        <v>1.0109999999999999</v>
      </c>
      <c r="BF440" t="s">
        <v>71</v>
      </c>
      <c r="BG440">
        <v>7.0422535211267595E-2</v>
      </c>
      <c r="BI440">
        <v>22</v>
      </c>
      <c r="BJ440">
        <v>5.781E-2</v>
      </c>
      <c r="BK440">
        <v>7.0422535211267595E-2</v>
      </c>
    </row>
    <row r="441" spans="1:63">
      <c r="A441">
        <v>2550</v>
      </c>
      <c r="B441" t="s">
        <v>2511</v>
      </c>
      <c r="D441" t="s">
        <v>66</v>
      </c>
      <c r="E441">
        <v>2580718</v>
      </c>
      <c r="F441">
        <v>2581617</v>
      </c>
      <c r="G441" t="s">
        <v>2513</v>
      </c>
      <c r="H441">
        <v>300</v>
      </c>
      <c r="I441" t="s">
        <v>63</v>
      </c>
      <c r="J441">
        <v>5</v>
      </c>
      <c r="K441" t="str">
        <f>HYPERLINK("Gene2550-zp_tree_all.dnd", "Gene2550-tree")</f>
        <v>Gene2550-tree</v>
      </c>
      <c r="L441">
        <v>1</v>
      </c>
      <c r="M441">
        <v>4</v>
      </c>
      <c r="N441">
        <v>1</v>
      </c>
      <c r="O441">
        <v>4</v>
      </c>
      <c r="P441">
        <v>0.8</v>
      </c>
      <c r="Q441" t="s">
        <v>65</v>
      </c>
      <c r="R441" t="s">
        <v>64</v>
      </c>
      <c r="S441" t="s">
        <v>66</v>
      </c>
      <c r="T441" t="s">
        <v>66</v>
      </c>
      <c r="U441">
        <v>0</v>
      </c>
      <c r="V441">
        <v>0</v>
      </c>
      <c r="W441">
        <v>10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10</v>
      </c>
      <c r="AH441">
        <v>0</v>
      </c>
      <c r="AI441">
        <v>5</v>
      </c>
      <c r="AJ441">
        <v>2</v>
      </c>
      <c r="AK441">
        <v>37</v>
      </c>
      <c r="AL441">
        <v>6</v>
      </c>
      <c r="AM441">
        <v>17</v>
      </c>
      <c r="AN441">
        <v>4</v>
      </c>
      <c r="AO441" t="s">
        <v>2514</v>
      </c>
      <c r="AP441" t="s">
        <v>2515</v>
      </c>
      <c r="AQ441">
        <v>0.98899999999999999</v>
      </c>
      <c r="AR441" t="s">
        <v>69</v>
      </c>
      <c r="AS441">
        <v>54</v>
      </c>
      <c r="AT441">
        <v>10</v>
      </c>
      <c r="AU441">
        <v>3.1559999999999998E-2</v>
      </c>
      <c r="AV441">
        <v>-3.3400000000000001E-3</v>
      </c>
      <c r="AW441">
        <v>0.12378</v>
      </c>
      <c r="AX441">
        <v>-1.3729999999999999E-2</v>
      </c>
      <c r="AY441">
        <v>6.9800000000000001E-3</v>
      </c>
      <c r="AZ441">
        <v>-8.7000000000000001E-4</v>
      </c>
      <c r="BA441">
        <v>5.6399999999999999E-2</v>
      </c>
      <c r="BB441">
        <v>1</v>
      </c>
      <c r="BC441" t="s">
        <v>70</v>
      </c>
      <c r="BD441">
        <v>2.1000000000000001E-2</v>
      </c>
      <c r="BE441">
        <v>-8.5000000000000006E-2</v>
      </c>
      <c r="BF441" t="s">
        <v>71</v>
      </c>
      <c r="BG441">
        <v>0.12041884816753901</v>
      </c>
      <c r="BI441">
        <v>64</v>
      </c>
      <c r="BJ441">
        <v>5.6399999999999999E-2</v>
      </c>
      <c r="BK441">
        <v>0.12041884816753901</v>
      </c>
    </row>
    <row r="442" spans="1:63">
      <c r="A442">
        <v>2553</v>
      </c>
      <c r="B442" t="s">
        <v>2516</v>
      </c>
      <c r="D442" t="s">
        <v>66</v>
      </c>
      <c r="E442">
        <v>2585437</v>
      </c>
      <c r="F442">
        <v>2586042</v>
      </c>
      <c r="G442" t="s">
        <v>2518</v>
      </c>
      <c r="H442">
        <v>202</v>
      </c>
      <c r="I442" t="s">
        <v>63</v>
      </c>
      <c r="J442">
        <v>5</v>
      </c>
      <c r="K442" t="str">
        <f>HYPERLINK("Gene2553-zp_tree_all.dnd", "Gene2553-tree")</f>
        <v>Gene2553-tree</v>
      </c>
      <c r="L442">
        <v>3</v>
      </c>
      <c r="M442">
        <v>2</v>
      </c>
      <c r="N442">
        <v>3</v>
      </c>
      <c r="O442">
        <v>2</v>
      </c>
      <c r="P442">
        <v>0.4</v>
      </c>
      <c r="Q442" t="s">
        <v>86</v>
      </c>
      <c r="R442" t="s">
        <v>124</v>
      </c>
      <c r="S442" t="s">
        <v>66</v>
      </c>
      <c r="T442" t="s">
        <v>66</v>
      </c>
      <c r="U442">
        <v>0</v>
      </c>
      <c r="V442">
        <v>0</v>
      </c>
      <c r="W442">
        <v>3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3</v>
      </c>
      <c r="AH442">
        <v>0</v>
      </c>
      <c r="AI442">
        <v>4</v>
      </c>
      <c r="AJ442">
        <v>2</v>
      </c>
      <c r="AK442">
        <v>16</v>
      </c>
      <c r="AL442">
        <v>2</v>
      </c>
      <c r="AM442">
        <v>6</v>
      </c>
      <c r="AN442">
        <v>1</v>
      </c>
      <c r="AO442" t="s">
        <v>2519</v>
      </c>
      <c r="AP442" t="s">
        <v>2520</v>
      </c>
      <c r="AQ442">
        <v>0.223</v>
      </c>
      <c r="AR442" t="s">
        <v>69</v>
      </c>
      <c r="AS442">
        <v>22</v>
      </c>
      <c r="AT442">
        <v>3</v>
      </c>
      <c r="AU442">
        <v>1.881E-2</v>
      </c>
      <c r="AV442">
        <v>-2.7299999999999998E-3</v>
      </c>
      <c r="AW442">
        <v>7.6200000000000004E-2</v>
      </c>
      <c r="AX442">
        <v>-1.089E-2</v>
      </c>
      <c r="AY442">
        <v>3.0100000000000001E-3</v>
      </c>
      <c r="AZ442">
        <v>-6.2E-4</v>
      </c>
      <c r="BA442">
        <v>3.9489999999999997E-2</v>
      </c>
      <c r="BB442">
        <v>1</v>
      </c>
      <c r="BC442" t="s">
        <v>70</v>
      </c>
      <c r="BD442">
        <v>-0.372</v>
      </c>
      <c r="BE442">
        <v>-0.372</v>
      </c>
      <c r="BF442" t="s">
        <v>71</v>
      </c>
      <c r="BG442">
        <v>-5.0359712230215799E-2</v>
      </c>
      <c r="BI442">
        <v>25</v>
      </c>
      <c r="BJ442">
        <v>3.9489999999999997E-2</v>
      </c>
      <c r="BK442">
        <v>-5.0359712230215799E-2</v>
      </c>
    </row>
    <row r="443" spans="1:63">
      <c r="A443">
        <v>2571</v>
      </c>
      <c r="B443" t="s">
        <v>2526</v>
      </c>
      <c r="D443" t="s">
        <v>66</v>
      </c>
      <c r="E443">
        <v>2600217</v>
      </c>
      <c r="F443">
        <v>2601329</v>
      </c>
      <c r="G443" t="s">
        <v>2528</v>
      </c>
      <c r="H443">
        <v>371</v>
      </c>
      <c r="I443" t="s">
        <v>63</v>
      </c>
      <c r="J443">
        <v>5</v>
      </c>
      <c r="K443" t="str">
        <f>HYPERLINK("Gene2571-zp_tree_all.dnd", "Gene2571-tree")</f>
        <v>Gene2571-tree</v>
      </c>
      <c r="L443">
        <v>5</v>
      </c>
      <c r="M443">
        <v>0</v>
      </c>
      <c r="N443">
        <v>4</v>
      </c>
      <c r="O443">
        <v>0</v>
      </c>
      <c r="P443">
        <v>0</v>
      </c>
      <c r="Q443" t="s">
        <v>135</v>
      </c>
      <c r="R443" t="s">
        <v>66</v>
      </c>
      <c r="S443" t="s">
        <v>66</v>
      </c>
      <c r="T443" t="s">
        <v>66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4</v>
      </c>
      <c r="AJ443">
        <v>1</v>
      </c>
      <c r="AK443">
        <v>20</v>
      </c>
      <c r="AL443">
        <v>0</v>
      </c>
      <c r="AM443">
        <v>21</v>
      </c>
      <c r="AN443">
        <v>0</v>
      </c>
      <c r="AO443" t="s">
        <v>68</v>
      </c>
      <c r="AP443" t="s">
        <v>68</v>
      </c>
      <c r="AQ443">
        <v>0</v>
      </c>
      <c r="AR443" t="s">
        <v>69</v>
      </c>
      <c r="AS443">
        <v>41</v>
      </c>
      <c r="AT443">
        <v>0</v>
      </c>
      <c r="AU443">
        <v>2.1260000000000001E-2</v>
      </c>
      <c r="AV443">
        <v>-3.8899999999999998E-3</v>
      </c>
      <c r="AW443">
        <v>0.10491</v>
      </c>
      <c r="AX443">
        <v>-1.9650000000000001E-2</v>
      </c>
      <c r="AY443">
        <v>0</v>
      </c>
      <c r="AZ443">
        <v>0</v>
      </c>
      <c r="BA443">
        <v>0</v>
      </c>
      <c r="BB443">
        <v>1</v>
      </c>
      <c r="BC443" t="s">
        <v>70</v>
      </c>
      <c r="BD443">
        <v>0.50900000000000001</v>
      </c>
      <c r="BE443">
        <v>0.313</v>
      </c>
      <c r="BF443" t="s">
        <v>71</v>
      </c>
      <c r="BG443">
        <v>0.13080168776371301</v>
      </c>
      <c r="BI443">
        <v>41</v>
      </c>
      <c r="BJ443">
        <v>0</v>
      </c>
      <c r="BK443">
        <v>0.13080168776371301</v>
      </c>
    </row>
    <row r="444" spans="1:63">
      <c r="A444">
        <v>2572</v>
      </c>
      <c r="B444" t="s">
        <v>2529</v>
      </c>
      <c r="D444" t="s">
        <v>66</v>
      </c>
      <c r="E444">
        <v>2601531</v>
      </c>
      <c r="F444">
        <v>2603339</v>
      </c>
      <c r="G444" t="s">
        <v>2531</v>
      </c>
      <c r="H444">
        <v>603</v>
      </c>
      <c r="I444" t="s">
        <v>85</v>
      </c>
      <c r="J444">
        <v>4</v>
      </c>
      <c r="K444" t="str">
        <f>HYPERLINK("Gene2572-zp_tree_all.dnd", "Gene2572-tree")</f>
        <v>Gene2572-tree</v>
      </c>
      <c r="L444">
        <v>1</v>
      </c>
      <c r="M444">
        <v>3</v>
      </c>
      <c r="N444">
        <v>1</v>
      </c>
      <c r="O444">
        <v>3</v>
      </c>
      <c r="P444">
        <v>0.75</v>
      </c>
      <c r="Q444" t="s">
        <v>65</v>
      </c>
      <c r="R444" t="s">
        <v>86</v>
      </c>
      <c r="S444" t="s">
        <v>66</v>
      </c>
      <c r="T444" t="s">
        <v>66</v>
      </c>
      <c r="U444">
        <v>0</v>
      </c>
      <c r="V444">
        <v>0</v>
      </c>
      <c r="W444">
        <v>13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13</v>
      </c>
      <c r="AH444">
        <v>0</v>
      </c>
      <c r="AI444">
        <v>4</v>
      </c>
      <c r="AJ444">
        <v>1</v>
      </c>
      <c r="AK444">
        <v>64</v>
      </c>
      <c r="AL444">
        <v>12</v>
      </c>
      <c r="AM444">
        <v>11</v>
      </c>
      <c r="AN444">
        <v>1</v>
      </c>
      <c r="AO444" t="s">
        <v>2532</v>
      </c>
      <c r="AP444" t="s">
        <v>2533</v>
      </c>
      <c r="AQ444">
        <v>0.34200000000000003</v>
      </c>
      <c r="AR444" t="s">
        <v>69</v>
      </c>
      <c r="AS444">
        <v>75</v>
      </c>
      <c r="AT444">
        <v>13</v>
      </c>
      <c r="AU444">
        <v>2.4879999999999999E-2</v>
      </c>
      <c r="AV444">
        <v>-6.0499999999999998E-3</v>
      </c>
      <c r="AW444">
        <v>0.10524</v>
      </c>
      <c r="AX444">
        <v>-2.6360000000000001E-2</v>
      </c>
      <c r="AY444">
        <v>4.7499999999999999E-3</v>
      </c>
      <c r="AZ444">
        <v>-1.1999999999999999E-3</v>
      </c>
      <c r="BA444">
        <v>4.5170000000000002E-2</v>
      </c>
      <c r="BB444">
        <v>1</v>
      </c>
      <c r="BC444" t="s">
        <v>70</v>
      </c>
      <c r="BD444">
        <v>-0.307</v>
      </c>
      <c r="BE444">
        <v>-0.53300000000000003</v>
      </c>
      <c r="BF444" t="s">
        <v>71</v>
      </c>
      <c r="BG444">
        <v>9.5541401273885301E-2</v>
      </c>
      <c r="BI444">
        <v>88</v>
      </c>
      <c r="BJ444">
        <v>4.5170000000000002E-2</v>
      </c>
      <c r="BK444">
        <v>9.5541401273885301E-2</v>
      </c>
    </row>
    <row r="445" spans="1:63">
      <c r="A445">
        <v>2572</v>
      </c>
      <c r="B445" t="s">
        <v>2529</v>
      </c>
      <c r="D445" t="s">
        <v>66</v>
      </c>
      <c r="E445">
        <v>2601531</v>
      </c>
      <c r="F445">
        <v>2603339</v>
      </c>
      <c r="G445" t="s">
        <v>2531</v>
      </c>
      <c r="H445">
        <v>603</v>
      </c>
      <c r="I445" t="s">
        <v>85</v>
      </c>
      <c r="J445">
        <v>4</v>
      </c>
      <c r="K445" t="str">
        <f>HYPERLINK("Gene2572-zp_tree_all.dnd", "Gene2572-tree")</f>
        <v>Gene2572-tree</v>
      </c>
      <c r="L445">
        <v>1</v>
      </c>
      <c r="M445">
        <v>3</v>
      </c>
      <c r="N445">
        <v>1</v>
      </c>
      <c r="O445">
        <v>3</v>
      </c>
      <c r="P445">
        <v>0.75</v>
      </c>
      <c r="Q445" t="s">
        <v>65</v>
      </c>
      <c r="R445" t="s">
        <v>86</v>
      </c>
      <c r="S445" t="s">
        <v>66</v>
      </c>
      <c r="T445" t="s">
        <v>66</v>
      </c>
      <c r="U445">
        <v>0</v>
      </c>
      <c r="V445">
        <v>0</v>
      </c>
      <c r="W445">
        <v>13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13</v>
      </c>
      <c r="AH445">
        <v>0</v>
      </c>
      <c r="AI445">
        <v>4</v>
      </c>
      <c r="AJ445">
        <v>1</v>
      </c>
      <c r="AK445">
        <v>64</v>
      </c>
      <c r="AL445">
        <v>12</v>
      </c>
      <c r="AM445">
        <v>11</v>
      </c>
      <c r="AN445">
        <v>1</v>
      </c>
      <c r="AO445" t="s">
        <v>2532</v>
      </c>
      <c r="AP445" t="s">
        <v>2533</v>
      </c>
      <c r="AQ445">
        <v>0.34200000000000003</v>
      </c>
      <c r="AR445" t="s">
        <v>69</v>
      </c>
      <c r="AS445">
        <v>75</v>
      </c>
      <c r="AT445">
        <v>13</v>
      </c>
      <c r="AU445">
        <v>2.4879999999999999E-2</v>
      </c>
      <c r="AV445">
        <v>-6.0499999999999998E-3</v>
      </c>
      <c r="AW445">
        <v>0.10524</v>
      </c>
      <c r="AX445">
        <v>-2.6360000000000001E-2</v>
      </c>
      <c r="AY445">
        <v>4.7499999999999999E-3</v>
      </c>
      <c r="AZ445">
        <v>-1.1999999999999999E-3</v>
      </c>
      <c r="BA445">
        <v>4.5170000000000002E-2</v>
      </c>
      <c r="BB445">
        <v>1</v>
      </c>
      <c r="BC445" t="s">
        <v>70</v>
      </c>
      <c r="BD445">
        <v>-0.307</v>
      </c>
      <c r="BE445">
        <v>-0.53300000000000003</v>
      </c>
      <c r="BF445" t="s">
        <v>71</v>
      </c>
      <c r="BG445">
        <v>9.5541401273885301E-2</v>
      </c>
      <c r="BI445">
        <v>88</v>
      </c>
      <c r="BJ445">
        <v>4.5170000000000002E-2</v>
      </c>
      <c r="BK445">
        <v>9.5541401273885301E-2</v>
      </c>
    </row>
    <row r="446" spans="1:63">
      <c r="A446">
        <v>2574</v>
      </c>
      <c r="B446" t="s">
        <v>2538</v>
      </c>
      <c r="D446" t="s">
        <v>66</v>
      </c>
      <c r="E446">
        <v>2603376</v>
      </c>
      <c r="F446">
        <v>2603867</v>
      </c>
      <c r="G446" t="s">
        <v>74</v>
      </c>
      <c r="H446">
        <v>164</v>
      </c>
      <c r="I446" t="s">
        <v>63</v>
      </c>
      <c r="J446">
        <v>5</v>
      </c>
      <c r="K446" t="str">
        <f>HYPERLINK("Gene2574-zp_tree_all.dnd", "Gene2574-tree")</f>
        <v>Gene2574-tree</v>
      </c>
      <c r="L446">
        <v>2</v>
      </c>
      <c r="M446">
        <v>3</v>
      </c>
      <c r="N446">
        <v>2</v>
      </c>
      <c r="O446">
        <v>3</v>
      </c>
      <c r="P446">
        <v>0.6</v>
      </c>
      <c r="Q446" t="s">
        <v>124</v>
      </c>
      <c r="R446" t="s">
        <v>86</v>
      </c>
      <c r="S446" t="s">
        <v>66</v>
      </c>
      <c r="T446" t="s">
        <v>66</v>
      </c>
      <c r="U446">
        <v>0</v>
      </c>
      <c r="V446">
        <v>0</v>
      </c>
      <c r="W446">
        <v>6</v>
      </c>
      <c r="X446">
        <v>0</v>
      </c>
      <c r="Y446">
        <v>0</v>
      </c>
      <c r="Z446">
        <v>0</v>
      </c>
      <c r="AA446">
        <v>0</v>
      </c>
      <c r="AB446">
        <v>3</v>
      </c>
      <c r="AC446">
        <v>0</v>
      </c>
      <c r="AD446">
        <v>0</v>
      </c>
      <c r="AE446">
        <v>0</v>
      </c>
      <c r="AF446">
        <v>0</v>
      </c>
      <c r="AG446">
        <v>3</v>
      </c>
      <c r="AH446">
        <v>0</v>
      </c>
      <c r="AI446">
        <v>5</v>
      </c>
      <c r="AJ446">
        <v>2</v>
      </c>
      <c r="AK446">
        <v>8</v>
      </c>
      <c r="AL446">
        <v>3</v>
      </c>
      <c r="AM446">
        <v>9</v>
      </c>
      <c r="AN446">
        <v>3</v>
      </c>
      <c r="AO446" t="s">
        <v>2540</v>
      </c>
      <c r="AP446" t="s">
        <v>2541</v>
      </c>
      <c r="AQ446">
        <v>0.309</v>
      </c>
      <c r="AR446" t="s">
        <v>69</v>
      </c>
      <c r="AS446">
        <v>17</v>
      </c>
      <c r="AT446">
        <v>6</v>
      </c>
      <c r="AU446">
        <v>2.3369999999999998E-2</v>
      </c>
      <c r="AV446">
        <v>-3.2599999999999999E-3</v>
      </c>
      <c r="AW446">
        <v>8.3510000000000001E-2</v>
      </c>
      <c r="AX446">
        <v>-1.26E-2</v>
      </c>
      <c r="AY446">
        <v>7.8799999999999999E-3</v>
      </c>
      <c r="AZ446">
        <v>-1.0499999999999999E-3</v>
      </c>
      <c r="BA446">
        <v>9.4350000000000003E-2</v>
      </c>
      <c r="BB446">
        <v>1</v>
      </c>
      <c r="BC446" t="s">
        <v>70</v>
      </c>
      <c r="BD446">
        <v>0.66</v>
      </c>
      <c r="BE446">
        <v>0.309</v>
      </c>
      <c r="BF446" t="s">
        <v>71</v>
      </c>
      <c r="BG446">
        <v>0.16062176165803099</v>
      </c>
      <c r="BI446">
        <v>23</v>
      </c>
      <c r="BJ446">
        <v>9.4350000000000003E-2</v>
      </c>
      <c r="BK446">
        <v>0.16062176165803099</v>
      </c>
    </row>
    <row r="447" spans="1:63">
      <c r="A447">
        <v>2575</v>
      </c>
      <c r="B447" t="s">
        <v>2542</v>
      </c>
      <c r="D447" t="s">
        <v>66</v>
      </c>
      <c r="E447">
        <v>2604124</v>
      </c>
      <c r="F447">
        <v>2604933</v>
      </c>
      <c r="G447" t="s">
        <v>74</v>
      </c>
      <c r="H447">
        <v>270</v>
      </c>
      <c r="I447" t="s">
        <v>63</v>
      </c>
      <c r="J447">
        <v>5</v>
      </c>
      <c r="K447" t="str">
        <f>HYPERLINK("Gene2575-zp_tree_all.dnd", "Gene2575-tree")</f>
        <v>Gene2575-tree</v>
      </c>
      <c r="L447">
        <v>5</v>
      </c>
      <c r="M447">
        <v>0</v>
      </c>
      <c r="N447">
        <v>5</v>
      </c>
      <c r="O447">
        <v>0</v>
      </c>
      <c r="P447">
        <v>0</v>
      </c>
      <c r="Q447" t="s">
        <v>96</v>
      </c>
      <c r="R447" t="s">
        <v>66</v>
      </c>
      <c r="S447" t="s">
        <v>66</v>
      </c>
      <c r="T447" t="s">
        <v>66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4</v>
      </c>
      <c r="AJ447">
        <v>2</v>
      </c>
      <c r="AK447">
        <v>17</v>
      </c>
      <c r="AL447">
        <v>0</v>
      </c>
      <c r="AM447">
        <v>30</v>
      </c>
      <c r="AN447">
        <v>1</v>
      </c>
      <c r="AO447" t="s">
        <v>68</v>
      </c>
      <c r="AP447" t="s">
        <v>2544</v>
      </c>
      <c r="AQ447">
        <v>0.79800000000000004</v>
      </c>
      <c r="AR447" t="s">
        <v>69</v>
      </c>
      <c r="AS447">
        <v>47</v>
      </c>
      <c r="AT447">
        <v>1</v>
      </c>
      <c r="AU447">
        <v>3.0859999999999999E-2</v>
      </c>
      <c r="AV447">
        <v>-6.1799999999999997E-3</v>
      </c>
      <c r="AW447">
        <v>0.1492</v>
      </c>
      <c r="AX447">
        <v>-3.056E-2</v>
      </c>
      <c r="AY447">
        <v>9.7000000000000005E-4</v>
      </c>
      <c r="AZ447">
        <v>-2.3000000000000001E-4</v>
      </c>
      <c r="BA447">
        <v>6.4900000000000001E-3</v>
      </c>
      <c r="BB447">
        <v>1</v>
      </c>
      <c r="BC447" t="s">
        <v>70</v>
      </c>
      <c r="BD447">
        <v>0.96299999999999997</v>
      </c>
      <c r="BE447">
        <v>0.65500000000000003</v>
      </c>
      <c r="BF447" t="s">
        <v>71</v>
      </c>
      <c r="BG447">
        <v>0.123867069486404</v>
      </c>
      <c r="BI447">
        <v>48</v>
      </c>
      <c r="BJ447">
        <v>6.4900000000000001E-3</v>
      </c>
      <c r="BK447">
        <v>0.123867069486404</v>
      </c>
    </row>
    <row r="448" spans="1:63">
      <c r="A448">
        <v>2576</v>
      </c>
      <c r="B448" t="s">
        <v>2545</v>
      </c>
      <c r="D448" t="s">
        <v>66</v>
      </c>
      <c r="E448">
        <v>2604962</v>
      </c>
      <c r="F448">
        <v>2605597</v>
      </c>
      <c r="G448" t="s">
        <v>2547</v>
      </c>
      <c r="H448">
        <v>212</v>
      </c>
      <c r="I448" t="s">
        <v>63</v>
      </c>
      <c r="J448">
        <v>5</v>
      </c>
      <c r="K448" t="str">
        <f>HYPERLINK("Gene2576-zp_tree_all.dnd", "Gene2576-tree")</f>
        <v>Gene2576-tree</v>
      </c>
      <c r="L448">
        <v>5</v>
      </c>
      <c r="M448">
        <v>0</v>
      </c>
      <c r="N448">
        <v>5</v>
      </c>
      <c r="O448">
        <v>0</v>
      </c>
      <c r="P448">
        <v>0</v>
      </c>
      <c r="Q448" t="s">
        <v>96</v>
      </c>
      <c r="R448" t="s">
        <v>66</v>
      </c>
      <c r="S448" t="s">
        <v>66</v>
      </c>
      <c r="T448" t="s">
        <v>66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4</v>
      </c>
      <c r="AJ448">
        <v>2</v>
      </c>
      <c r="AK448">
        <v>11</v>
      </c>
      <c r="AL448">
        <v>0</v>
      </c>
      <c r="AM448">
        <v>19</v>
      </c>
      <c r="AN448">
        <v>0</v>
      </c>
      <c r="AO448" t="s">
        <v>68</v>
      </c>
      <c r="AP448" t="s">
        <v>68</v>
      </c>
      <c r="AQ448">
        <v>0</v>
      </c>
      <c r="AR448" t="s">
        <v>69</v>
      </c>
      <c r="AS448">
        <v>30</v>
      </c>
      <c r="AT448">
        <v>0</v>
      </c>
      <c r="AU448">
        <v>2.3380000000000001E-2</v>
      </c>
      <c r="AV448">
        <v>-4.62E-3</v>
      </c>
      <c r="AW448">
        <v>0.11199000000000001</v>
      </c>
      <c r="AX448">
        <v>-2.2599999999999999E-2</v>
      </c>
      <c r="AY448">
        <v>0</v>
      </c>
      <c r="AZ448">
        <v>0</v>
      </c>
      <c r="BA448">
        <v>0</v>
      </c>
      <c r="BB448">
        <v>1</v>
      </c>
      <c r="BC448" t="s">
        <v>70</v>
      </c>
      <c r="BD448">
        <v>1.385</v>
      </c>
      <c r="BE448">
        <v>0.191</v>
      </c>
      <c r="BF448" t="s">
        <v>71</v>
      </c>
      <c r="BG448">
        <v>7.7464788732394305E-2</v>
      </c>
      <c r="BI448">
        <v>30</v>
      </c>
      <c r="BJ448">
        <v>0</v>
      </c>
      <c r="BK448">
        <v>7.7464788732394305E-2</v>
      </c>
    </row>
    <row r="449" spans="1:63">
      <c r="A449">
        <v>2578</v>
      </c>
      <c r="B449" t="s">
        <v>2548</v>
      </c>
      <c r="D449" t="s">
        <v>66</v>
      </c>
      <c r="E449">
        <v>2607765</v>
      </c>
      <c r="F449">
        <v>2608649</v>
      </c>
      <c r="G449" t="s">
        <v>2550</v>
      </c>
      <c r="H449">
        <v>295</v>
      </c>
      <c r="I449" t="s">
        <v>85</v>
      </c>
      <c r="J449">
        <v>4</v>
      </c>
      <c r="K449" t="str">
        <f>HYPERLINK("Gene2578-zp_tree_all.dnd", "Gene2578-tree")</f>
        <v>Gene2578-tree</v>
      </c>
      <c r="L449">
        <v>4</v>
      </c>
      <c r="M449">
        <v>0</v>
      </c>
      <c r="N449">
        <v>4</v>
      </c>
      <c r="O449">
        <v>0</v>
      </c>
      <c r="P449">
        <v>0</v>
      </c>
      <c r="Q449" t="s">
        <v>64</v>
      </c>
      <c r="R449" t="s">
        <v>66</v>
      </c>
      <c r="S449" t="s">
        <v>66</v>
      </c>
      <c r="T449" t="s">
        <v>66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3</v>
      </c>
      <c r="AJ449">
        <v>1</v>
      </c>
      <c r="AK449">
        <v>43</v>
      </c>
      <c r="AL449">
        <v>0</v>
      </c>
      <c r="AM449">
        <v>4</v>
      </c>
      <c r="AN449">
        <v>0</v>
      </c>
      <c r="AO449" t="s">
        <v>68</v>
      </c>
      <c r="AP449" t="s">
        <v>68</v>
      </c>
      <c r="AQ449">
        <v>0</v>
      </c>
      <c r="AR449" t="s">
        <v>69</v>
      </c>
      <c r="AS449">
        <v>47</v>
      </c>
      <c r="AT449">
        <v>0</v>
      </c>
      <c r="AU449">
        <v>2.7310000000000001E-2</v>
      </c>
      <c r="AV449">
        <v>-8.4399999999999996E-3</v>
      </c>
      <c r="AW449">
        <v>0.14133999999999999</v>
      </c>
      <c r="AX449">
        <v>-4.5310000000000003E-2</v>
      </c>
      <c r="AY449">
        <v>0</v>
      </c>
      <c r="AZ449">
        <v>0</v>
      </c>
      <c r="BA449">
        <v>0</v>
      </c>
      <c r="BB449">
        <v>1</v>
      </c>
      <c r="BC449" t="s">
        <v>70</v>
      </c>
      <c r="BD449">
        <v>-0.59599999999999997</v>
      </c>
      <c r="BE449">
        <v>-0.59599999999999997</v>
      </c>
      <c r="BF449" t="s">
        <v>71</v>
      </c>
      <c r="BG449">
        <v>0.12935323383084499</v>
      </c>
      <c r="BI449">
        <v>47</v>
      </c>
      <c r="BJ449">
        <v>0</v>
      </c>
      <c r="BK449">
        <v>0.12935323383084499</v>
      </c>
    </row>
    <row r="450" spans="1:63">
      <c r="A450">
        <v>2581</v>
      </c>
      <c r="B450" t="s">
        <v>2553</v>
      </c>
      <c r="D450" t="s">
        <v>66</v>
      </c>
      <c r="E450">
        <v>2610044</v>
      </c>
      <c r="F450">
        <v>2610946</v>
      </c>
      <c r="G450" t="s">
        <v>2555</v>
      </c>
      <c r="H450">
        <v>301</v>
      </c>
      <c r="I450" t="s">
        <v>63</v>
      </c>
      <c r="J450">
        <v>5</v>
      </c>
      <c r="K450" t="str">
        <f>HYPERLINK("Gene2581-zp_tree_all.dnd", "Gene2581-tree")</f>
        <v>Gene2581-tree</v>
      </c>
      <c r="L450">
        <v>2</v>
      </c>
      <c r="M450">
        <v>3</v>
      </c>
      <c r="N450">
        <v>2</v>
      </c>
      <c r="O450">
        <v>2</v>
      </c>
      <c r="P450">
        <v>0.5</v>
      </c>
      <c r="Q450" t="s">
        <v>124</v>
      </c>
      <c r="R450" t="s">
        <v>185</v>
      </c>
      <c r="S450">
        <v>0.30599999999999999</v>
      </c>
      <c r="T450" t="s">
        <v>69</v>
      </c>
      <c r="U450">
        <v>2</v>
      </c>
      <c r="V450">
        <v>4</v>
      </c>
      <c r="W450">
        <v>1</v>
      </c>
      <c r="X450">
        <v>0.8</v>
      </c>
      <c r="Y450">
        <v>0</v>
      </c>
      <c r="Z450">
        <v>0</v>
      </c>
      <c r="AA450">
        <v>0</v>
      </c>
      <c r="AB450">
        <v>2</v>
      </c>
      <c r="AC450">
        <v>0</v>
      </c>
      <c r="AD450">
        <v>0</v>
      </c>
      <c r="AE450">
        <v>0</v>
      </c>
      <c r="AF450">
        <v>0</v>
      </c>
      <c r="AG450">
        <v>3</v>
      </c>
      <c r="AH450">
        <v>0</v>
      </c>
      <c r="AI450">
        <v>4</v>
      </c>
      <c r="AJ450">
        <v>1</v>
      </c>
      <c r="AK450">
        <v>21</v>
      </c>
      <c r="AL450">
        <v>3</v>
      </c>
      <c r="AM450">
        <v>25</v>
      </c>
      <c r="AN450">
        <v>2</v>
      </c>
      <c r="AO450" t="s">
        <v>2556</v>
      </c>
      <c r="AP450" t="s">
        <v>2557</v>
      </c>
      <c r="AQ450">
        <v>0.72199999999999998</v>
      </c>
      <c r="AR450" t="s">
        <v>69</v>
      </c>
      <c r="AS450">
        <v>46</v>
      </c>
      <c r="AT450">
        <v>5</v>
      </c>
      <c r="AU450">
        <v>3.2480000000000002E-2</v>
      </c>
      <c r="AV450">
        <v>-5.6299999999999996E-3</v>
      </c>
      <c r="AW450">
        <v>0.15248</v>
      </c>
      <c r="AX450">
        <v>-2.8660000000000001E-2</v>
      </c>
      <c r="AY450">
        <v>3.5599999999999998E-3</v>
      </c>
      <c r="AZ450">
        <v>-5.5999999999999995E-4</v>
      </c>
      <c r="BA450">
        <v>2.333E-2</v>
      </c>
      <c r="BB450">
        <v>1</v>
      </c>
      <c r="BC450" t="s">
        <v>70</v>
      </c>
      <c r="BD450">
        <v>0.86</v>
      </c>
      <c r="BE450">
        <v>0.86</v>
      </c>
      <c r="BF450" t="s">
        <v>71</v>
      </c>
      <c r="BG450">
        <v>0.10485933503836301</v>
      </c>
      <c r="BI450">
        <v>51</v>
      </c>
      <c r="BJ450">
        <v>2.333E-2</v>
      </c>
      <c r="BK450">
        <v>0.10485933503836301</v>
      </c>
    </row>
    <row r="451" spans="1:63">
      <c r="A451">
        <v>2582</v>
      </c>
      <c r="B451" t="s">
        <v>2558</v>
      </c>
      <c r="D451" t="s">
        <v>66</v>
      </c>
      <c r="E451">
        <v>2610930</v>
      </c>
      <c r="F451">
        <v>2611337</v>
      </c>
      <c r="G451" t="s">
        <v>2560</v>
      </c>
      <c r="H451">
        <v>136</v>
      </c>
      <c r="I451" t="s">
        <v>63</v>
      </c>
      <c r="J451">
        <v>5</v>
      </c>
      <c r="K451" t="str">
        <f>HYPERLINK("Gene2582-zp_tree_all.dnd", "Gene2582-tree")</f>
        <v>Gene2582-tree</v>
      </c>
      <c r="L451">
        <v>5</v>
      </c>
      <c r="M451">
        <v>0</v>
      </c>
      <c r="N451">
        <v>5</v>
      </c>
      <c r="O451">
        <v>0</v>
      </c>
      <c r="P451">
        <v>0</v>
      </c>
      <c r="Q451" t="s">
        <v>96</v>
      </c>
      <c r="R451" t="s">
        <v>66</v>
      </c>
      <c r="S451" t="s">
        <v>66</v>
      </c>
      <c r="T451" t="s">
        <v>66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4</v>
      </c>
      <c r="AJ451">
        <v>2</v>
      </c>
      <c r="AK451">
        <v>8</v>
      </c>
      <c r="AL451">
        <v>0</v>
      </c>
      <c r="AM451">
        <v>6</v>
      </c>
      <c r="AN451">
        <v>1</v>
      </c>
      <c r="AO451" t="s">
        <v>68</v>
      </c>
      <c r="AP451" t="s">
        <v>2561</v>
      </c>
      <c r="AQ451">
        <v>1.268</v>
      </c>
      <c r="AR451" t="s">
        <v>69</v>
      </c>
      <c r="AS451">
        <v>14</v>
      </c>
      <c r="AT451">
        <v>1</v>
      </c>
      <c r="AU451">
        <v>1.7399999999999999E-2</v>
      </c>
      <c r="AV451">
        <v>-2.31E-3</v>
      </c>
      <c r="AW451">
        <v>7.3550000000000004E-2</v>
      </c>
      <c r="AX451">
        <v>-9.6600000000000002E-3</v>
      </c>
      <c r="AY451">
        <v>1.91E-3</v>
      </c>
      <c r="AZ451">
        <v>-4.6000000000000001E-4</v>
      </c>
      <c r="BA451">
        <v>2.5999999999999999E-2</v>
      </c>
      <c r="BB451">
        <v>1</v>
      </c>
      <c r="BC451" t="s">
        <v>70</v>
      </c>
      <c r="BD451">
        <v>0.41199999999999998</v>
      </c>
      <c r="BE451">
        <v>-0.13</v>
      </c>
      <c r="BF451" t="s">
        <v>71</v>
      </c>
      <c r="BG451">
        <v>0.102702702702702</v>
      </c>
      <c r="BI451">
        <v>15</v>
      </c>
      <c r="BJ451">
        <v>2.5999999999999999E-2</v>
      </c>
      <c r="BK451">
        <v>0.102702702702702</v>
      </c>
    </row>
    <row r="452" spans="1:63">
      <c r="A452">
        <v>2586</v>
      </c>
      <c r="B452" t="s">
        <v>2562</v>
      </c>
      <c r="D452" t="s">
        <v>66</v>
      </c>
      <c r="E452">
        <v>2614499</v>
      </c>
      <c r="F452">
        <v>2615455</v>
      </c>
      <c r="G452" t="s">
        <v>2564</v>
      </c>
      <c r="H452">
        <v>319</v>
      </c>
      <c r="I452" t="s">
        <v>63</v>
      </c>
      <c r="J452">
        <v>5</v>
      </c>
      <c r="K452" t="str">
        <f>HYPERLINK("Gene2586-zp_tree_all.dnd", "Gene2586-tree")</f>
        <v>Gene2586-tree</v>
      </c>
      <c r="L452">
        <v>4</v>
      </c>
      <c r="M452">
        <v>1</v>
      </c>
      <c r="N452">
        <v>4</v>
      </c>
      <c r="O452">
        <v>1</v>
      </c>
      <c r="P452">
        <v>0.2</v>
      </c>
      <c r="Q452" t="s">
        <v>64</v>
      </c>
      <c r="R452" t="s">
        <v>65</v>
      </c>
      <c r="S452" t="s">
        <v>66</v>
      </c>
      <c r="T452" t="s">
        <v>66</v>
      </c>
      <c r="U452">
        <v>0</v>
      </c>
      <c r="V452">
        <v>0</v>
      </c>
      <c r="W452">
        <v>7</v>
      </c>
      <c r="X452">
        <v>0</v>
      </c>
      <c r="Y452">
        <v>0</v>
      </c>
      <c r="Z452">
        <v>0</v>
      </c>
      <c r="AA452">
        <v>0</v>
      </c>
      <c r="AB452">
        <v>6</v>
      </c>
      <c r="AC452">
        <v>0</v>
      </c>
      <c r="AD452">
        <v>0</v>
      </c>
      <c r="AE452">
        <v>0</v>
      </c>
      <c r="AF452">
        <v>0</v>
      </c>
      <c r="AG452">
        <v>1</v>
      </c>
      <c r="AH452">
        <v>0</v>
      </c>
      <c r="AI452">
        <v>4</v>
      </c>
      <c r="AJ452">
        <v>1</v>
      </c>
      <c r="AK452">
        <v>13</v>
      </c>
      <c r="AL452">
        <v>1</v>
      </c>
      <c r="AM452">
        <v>9</v>
      </c>
      <c r="AN452">
        <v>6</v>
      </c>
      <c r="AO452" t="s">
        <v>2565</v>
      </c>
      <c r="AP452" t="s">
        <v>2566</v>
      </c>
      <c r="AQ452">
        <v>4.1790000000000003</v>
      </c>
      <c r="AR452" t="s">
        <v>69</v>
      </c>
      <c r="AS452">
        <v>22</v>
      </c>
      <c r="AT452">
        <v>7</v>
      </c>
      <c r="AU452">
        <v>1.5259999999999999E-2</v>
      </c>
      <c r="AV452">
        <v>-2.9499999999999999E-3</v>
      </c>
      <c r="AW452">
        <v>0.05</v>
      </c>
      <c r="AX452">
        <v>-9.5700000000000004E-3</v>
      </c>
      <c r="AY452">
        <v>5.47E-3</v>
      </c>
      <c r="AZ452">
        <v>-1.1299999999999999E-3</v>
      </c>
      <c r="BA452">
        <v>0.10943</v>
      </c>
      <c r="BB452">
        <v>1</v>
      </c>
      <c r="BC452" t="s">
        <v>70</v>
      </c>
      <c r="BD452">
        <v>0.36499999999999999</v>
      </c>
      <c r="BE452">
        <v>0.36499999999999999</v>
      </c>
      <c r="BF452" t="s">
        <v>71</v>
      </c>
      <c r="BG452">
        <v>0.12918660287081299</v>
      </c>
      <c r="BI452">
        <v>29</v>
      </c>
      <c r="BJ452">
        <v>0.10943</v>
      </c>
      <c r="BK452">
        <v>0.12918660287081299</v>
      </c>
    </row>
    <row r="453" spans="1:63">
      <c r="A453">
        <v>2587</v>
      </c>
      <c r="B453" t="s">
        <v>2567</v>
      </c>
      <c r="D453" t="s">
        <v>66</v>
      </c>
      <c r="E453">
        <v>2615455</v>
      </c>
      <c r="F453">
        <v>2616648</v>
      </c>
      <c r="G453" t="s">
        <v>74</v>
      </c>
      <c r="H453">
        <v>398</v>
      </c>
      <c r="I453" t="s">
        <v>63</v>
      </c>
      <c r="J453">
        <v>5</v>
      </c>
      <c r="K453" t="str">
        <f>HYPERLINK("Gene2587-zp_tree_all.dnd", "Gene2587-tree")</f>
        <v>Gene2587-tree</v>
      </c>
      <c r="L453">
        <v>2</v>
      </c>
      <c r="M453">
        <v>3</v>
      </c>
      <c r="N453">
        <v>2</v>
      </c>
      <c r="O453">
        <v>3</v>
      </c>
      <c r="P453">
        <v>0.6</v>
      </c>
      <c r="Q453" t="s">
        <v>124</v>
      </c>
      <c r="R453" t="s">
        <v>86</v>
      </c>
      <c r="S453" t="s">
        <v>66</v>
      </c>
      <c r="T453" t="s">
        <v>66</v>
      </c>
      <c r="U453">
        <v>0</v>
      </c>
      <c r="V453">
        <v>0</v>
      </c>
      <c r="W453">
        <v>14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14</v>
      </c>
      <c r="AH453">
        <v>0</v>
      </c>
      <c r="AI453">
        <v>5</v>
      </c>
      <c r="AJ453">
        <v>2</v>
      </c>
      <c r="AK453">
        <v>32</v>
      </c>
      <c r="AL453">
        <v>6</v>
      </c>
      <c r="AM453">
        <v>23</v>
      </c>
      <c r="AN453">
        <v>8</v>
      </c>
      <c r="AO453" t="s">
        <v>2569</v>
      </c>
      <c r="AP453" t="s">
        <v>2570</v>
      </c>
      <c r="AQ453">
        <v>0.42899999999999999</v>
      </c>
      <c r="AR453" t="s">
        <v>69</v>
      </c>
      <c r="AS453">
        <v>55</v>
      </c>
      <c r="AT453">
        <v>14</v>
      </c>
      <c r="AU453">
        <v>2.6880000000000001E-2</v>
      </c>
      <c r="AV453">
        <v>-3.8899999999999998E-3</v>
      </c>
      <c r="AW453">
        <v>0.10518</v>
      </c>
      <c r="AX453">
        <v>-1.4E-2</v>
      </c>
      <c r="AY453">
        <v>7.7400000000000004E-3</v>
      </c>
      <c r="AZ453">
        <v>-1.6199999999999999E-3</v>
      </c>
      <c r="BA453">
        <v>7.3580000000000007E-2</v>
      </c>
      <c r="BB453">
        <v>1</v>
      </c>
      <c r="BC453" t="s">
        <v>70</v>
      </c>
      <c r="BD453">
        <v>0.46500000000000002</v>
      </c>
      <c r="BE453">
        <v>0.09</v>
      </c>
      <c r="BF453" t="s">
        <v>71</v>
      </c>
      <c r="BG453">
        <v>0.17382413087934501</v>
      </c>
      <c r="BI453">
        <v>69</v>
      </c>
      <c r="BJ453">
        <v>7.3580000000000007E-2</v>
      </c>
      <c r="BK453">
        <v>0.17382413087934501</v>
      </c>
    </row>
    <row r="454" spans="1:63">
      <c r="A454">
        <v>2588</v>
      </c>
      <c r="B454" t="s">
        <v>2571</v>
      </c>
      <c r="D454" t="s">
        <v>66</v>
      </c>
      <c r="E454">
        <v>2616670</v>
      </c>
      <c r="F454">
        <v>2616948</v>
      </c>
      <c r="G454" t="s">
        <v>74</v>
      </c>
      <c r="H454">
        <v>93</v>
      </c>
      <c r="I454" t="s">
        <v>63</v>
      </c>
      <c r="J454">
        <v>5</v>
      </c>
      <c r="K454" t="str">
        <f>HYPERLINK("Gene2588-zp_tree_all.dnd", "Gene2588-tree")</f>
        <v>Gene2588-tree</v>
      </c>
      <c r="L454">
        <v>5</v>
      </c>
      <c r="M454">
        <v>0</v>
      </c>
      <c r="N454">
        <v>4</v>
      </c>
      <c r="O454">
        <v>0</v>
      </c>
      <c r="P454">
        <v>0</v>
      </c>
      <c r="Q454" t="s">
        <v>135</v>
      </c>
      <c r="R454" t="s">
        <v>66</v>
      </c>
      <c r="S454" t="s">
        <v>66</v>
      </c>
      <c r="T454" t="s">
        <v>66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4</v>
      </c>
      <c r="AJ454">
        <v>1</v>
      </c>
      <c r="AK454">
        <v>9</v>
      </c>
      <c r="AL454">
        <v>0</v>
      </c>
      <c r="AM454">
        <v>3</v>
      </c>
      <c r="AN454">
        <v>0</v>
      </c>
      <c r="AO454" t="s">
        <v>68</v>
      </c>
      <c r="AP454" t="s">
        <v>68</v>
      </c>
      <c r="AQ454">
        <v>0</v>
      </c>
      <c r="AR454" t="s">
        <v>69</v>
      </c>
      <c r="AS454">
        <v>12</v>
      </c>
      <c r="AT454">
        <v>0</v>
      </c>
      <c r="AU454">
        <v>2.3300000000000001E-2</v>
      </c>
      <c r="AV454">
        <v>-3.46E-3</v>
      </c>
      <c r="AW454">
        <v>0.11157</v>
      </c>
      <c r="AX454">
        <v>-1.7809999999999999E-2</v>
      </c>
      <c r="AY454">
        <v>7.6999999999999996E-4</v>
      </c>
      <c r="AZ454">
        <v>-6.9999999999999999E-4</v>
      </c>
      <c r="BA454">
        <v>6.8999999999999999E-3</v>
      </c>
      <c r="BB454">
        <v>1</v>
      </c>
      <c r="BC454" t="s">
        <v>70</v>
      </c>
      <c r="BD454">
        <v>-0.20100000000000001</v>
      </c>
      <c r="BE454">
        <v>-0.20100000000000001</v>
      </c>
      <c r="BF454" t="s">
        <v>71</v>
      </c>
      <c r="BG454">
        <v>0.225806451612903</v>
      </c>
      <c r="BI454">
        <v>12</v>
      </c>
      <c r="BJ454">
        <v>6.8999999999999999E-3</v>
      </c>
      <c r="BK454">
        <v>0.225806451612903</v>
      </c>
    </row>
    <row r="455" spans="1:63">
      <c r="A455">
        <v>2596</v>
      </c>
      <c r="B455" t="s">
        <v>2578</v>
      </c>
      <c r="D455" t="s">
        <v>66</v>
      </c>
      <c r="E455">
        <v>2623035</v>
      </c>
      <c r="F455">
        <v>2623802</v>
      </c>
      <c r="G455" t="s">
        <v>2580</v>
      </c>
      <c r="H455">
        <v>256</v>
      </c>
      <c r="I455" t="s">
        <v>63</v>
      </c>
      <c r="J455">
        <v>5</v>
      </c>
      <c r="K455" t="str">
        <f>HYPERLINK("Gene2596-zp_tree_all.dnd", "Gene2596-tree")</f>
        <v>Gene2596-tree</v>
      </c>
      <c r="L455">
        <v>2</v>
      </c>
      <c r="M455">
        <v>3</v>
      </c>
      <c r="N455">
        <v>2</v>
      </c>
      <c r="O455">
        <v>3</v>
      </c>
      <c r="P455">
        <v>0.6</v>
      </c>
      <c r="Q455" t="s">
        <v>124</v>
      </c>
      <c r="R455" t="s">
        <v>86</v>
      </c>
      <c r="S455" t="s">
        <v>66</v>
      </c>
      <c r="T455" t="s">
        <v>66</v>
      </c>
      <c r="U455">
        <v>0</v>
      </c>
      <c r="V455">
        <v>0</v>
      </c>
      <c r="W455">
        <v>18</v>
      </c>
      <c r="X455">
        <v>0</v>
      </c>
      <c r="Y455">
        <v>0</v>
      </c>
      <c r="Z455">
        <v>0</v>
      </c>
      <c r="AA455">
        <v>0</v>
      </c>
      <c r="AB455">
        <v>12</v>
      </c>
      <c r="AC455">
        <v>0</v>
      </c>
      <c r="AD455">
        <v>0</v>
      </c>
      <c r="AE455">
        <v>0</v>
      </c>
      <c r="AF455">
        <v>0</v>
      </c>
      <c r="AG455">
        <v>6</v>
      </c>
      <c r="AH455">
        <v>0</v>
      </c>
      <c r="AI455">
        <v>5</v>
      </c>
      <c r="AJ455">
        <v>2</v>
      </c>
      <c r="AK455">
        <v>15</v>
      </c>
      <c r="AL455">
        <v>6</v>
      </c>
      <c r="AM455">
        <v>12</v>
      </c>
      <c r="AN455">
        <v>12</v>
      </c>
      <c r="AO455" t="s">
        <v>2581</v>
      </c>
      <c r="AP455" t="s">
        <v>2582</v>
      </c>
      <c r="AQ455">
        <v>0.48299999999999998</v>
      </c>
      <c r="AR455" t="s">
        <v>69</v>
      </c>
      <c r="AS455">
        <v>27</v>
      </c>
      <c r="AT455">
        <v>18</v>
      </c>
      <c r="AU455">
        <v>2.9690000000000001E-2</v>
      </c>
      <c r="AV455">
        <v>-5.0699999999999999E-3</v>
      </c>
      <c r="AW455">
        <v>8.3690000000000001E-2</v>
      </c>
      <c r="AX455">
        <v>-1.397E-2</v>
      </c>
      <c r="AY455">
        <v>1.627E-2</v>
      </c>
      <c r="AZ455">
        <v>-3.13E-3</v>
      </c>
      <c r="BA455">
        <v>0.19442000000000001</v>
      </c>
      <c r="BB455">
        <v>1</v>
      </c>
      <c r="BC455" t="s">
        <v>70</v>
      </c>
      <c r="BD455">
        <v>0.41899999999999998</v>
      </c>
      <c r="BE455">
        <v>0.41899999999999998</v>
      </c>
      <c r="BF455" t="s">
        <v>71</v>
      </c>
      <c r="BG455">
        <v>0.17086834733893499</v>
      </c>
      <c r="BI455">
        <v>45</v>
      </c>
      <c r="BJ455">
        <v>0.19442000000000001</v>
      </c>
      <c r="BK455">
        <v>0.17086834733893499</v>
      </c>
    </row>
    <row r="456" spans="1:63">
      <c r="A456">
        <v>2597</v>
      </c>
      <c r="B456" t="s">
        <v>2583</v>
      </c>
      <c r="D456" t="s">
        <v>66</v>
      </c>
      <c r="E456">
        <v>2623828</v>
      </c>
      <c r="F456">
        <v>2624760</v>
      </c>
      <c r="G456" t="s">
        <v>2585</v>
      </c>
      <c r="H456">
        <v>311</v>
      </c>
      <c r="I456" t="s">
        <v>85</v>
      </c>
      <c r="J456">
        <v>4</v>
      </c>
      <c r="K456" t="str">
        <f>HYPERLINK("Gene2597-zp_tree_all.dnd", "Gene2597-tree")</f>
        <v>Gene2597-tree</v>
      </c>
      <c r="L456">
        <v>3</v>
      </c>
      <c r="M456">
        <v>1</v>
      </c>
      <c r="N456">
        <v>3</v>
      </c>
      <c r="O456">
        <v>1</v>
      </c>
      <c r="P456">
        <v>0.25</v>
      </c>
      <c r="Q456" t="s">
        <v>86</v>
      </c>
      <c r="R456" t="s">
        <v>65</v>
      </c>
      <c r="S456" t="s">
        <v>66</v>
      </c>
      <c r="T456" t="s">
        <v>66</v>
      </c>
      <c r="U456">
        <v>0</v>
      </c>
      <c r="V456">
        <v>0</v>
      </c>
      <c r="W456">
        <v>3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3</v>
      </c>
      <c r="AH456">
        <v>0</v>
      </c>
      <c r="AI456">
        <v>4</v>
      </c>
      <c r="AJ456">
        <v>1</v>
      </c>
      <c r="AK456">
        <v>38</v>
      </c>
      <c r="AL456">
        <v>3</v>
      </c>
      <c r="AM456">
        <v>1</v>
      </c>
      <c r="AN456">
        <v>0</v>
      </c>
      <c r="AO456" t="s">
        <v>2586</v>
      </c>
      <c r="AP456" t="s">
        <v>68</v>
      </c>
      <c r="AQ456">
        <v>0.39100000000000001</v>
      </c>
      <c r="AR456" t="s">
        <v>69</v>
      </c>
      <c r="AS456">
        <v>39</v>
      </c>
      <c r="AT456">
        <v>3</v>
      </c>
      <c r="AU456">
        <v>2.2689999999999998E-2</v>
      </c>
      <c r="AV456">
        <v>-7.5199999999999998E-3</v>
      </c>
      <c r="AW456">
        <v>0.10441</v>
      </c>
      <c r="AX456">
        <v>-3.4810000000000001E-2</v>
      </c>
      <c r="AY456">
        <v>2.0799999999999998E-3</v>
      </c>
      <c r="AZ456">
        <v>-8.4999999999999995E-4</v>
      </c>
      <c r="BA456">
        <v>1.9949999999999999E-2</v>
      </c>
      <c r="BB456">
        <v>1</v>
      </c>
      <c r="BC456" t="s">
        <v>70</v>
      </c>
      <c r="BD456">
        <v>-0.79</v>
      </c>
      <c r="BE456">
        <v>-0.79</v>
      </c>
      <c r="BF456" t="s">
        <v>71</v>
      </c>
      <c r="BG456">
        <v>0.126550868486352</v>
      </c>
      <c r="BI456">
        <v>42</v>
      </c>
      <c r="BJ456">
        <v>1.9949999999999999E-2</v>
      </c>
      <c r="BK456">
        <v>0.126550868486352</v>
      </c>
    </row>
    <row r="457" spans="1:63">
      <c r="A457">
        <v>2598</v>
      </c>
      <c r="B457" t="s">
        <v>2587</v>
      </c>
      <c r="D457" t="s">
        <v>66</v>
      </c>
      <c r="E457">
        <v>2624788</v>
      </c>
      <c r="F457">
        <v>2625912</v>
      </c>
      <c r="G457" t="s">
        <v>2589</v>
      </c>
      <c r="H457">
        <v>375</v>
      </c>
      <c r="I457" t="s">
        <v>85</v>
      </c>
      <c r="J457">
        <v>4</v>
      </c>
      <c r="K457" t="str">
        <f>HYPERLINK("Gene2598-zp_tree_all.dnd", "Gene2598-tree")</f>
        <v>Gene2598-tree</v>
      </c>
      <c r="L457">
        <v>3</v>
      </c>
      <c r="M457">
        <v>1</v>
      </c>
      <c r="N457">
        <v>3</v>
      </c>
      <c r="O457">
        <v>1</v>
      </c>
      <c r="P457">
        <v>0.25</v>
      </c>
      <c r="Q457" t="s">
        <v>86</v>
      </c>
      <c r="R457" t="s">
        <v>65</v>
      </c>
      <c r="S457" t="s">
        <v>66</v>
      </c>
      <c r="T457" t="s">
        <v>66</v>
      </c>
      <c r="U457">
        <v>0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1</v>
      </c>
      <c r="AK457">
        <v>53</v>
      </c>
      <c r="AL457">
        <v>4</v>
      </c>
      <c r="AM457">
        <v>5</v>
      </c>
      <c r="AN457">
        <v>0</v>
      </c>
      <c r="AO457" t="s">
        <v>2590</v>
      </c>
      <c r="AP457" t="s">
        <v>68</v>
      </c>
      <c r="AQ457">
        <v>0.40799999999999997</v>
      </c>
      <c r="AR457" t="s">
        <v>69</v>
      </c>
      <c r="AS457">
        <v>58</v>
      </c>
      <c r="AT457">
        <v>4</v>
      </c>
      <c r="AU457">
        <v>2.7109999999999999E-2</v>
      </c>
      <c r="AV457">
        <v>-8.09E-3</v>
      </c>
      <c r="AW457">
        <v>0.12848000000000001</v>
      </c>
      <c r="AX457">
        <v>-3.884E-2</v>
      </c>
      <c r="AY457">
        <v>2.3E-3</v>
      </c>
      <c r="AZ457">
        <v>-9.3999999999999997E-4</v>
      </c>
      <c r="BA457">
        <v>1.789E-2</v>
      </c>
      <c r="BB457">
        <v>1</v>
      </c>
      <c r="BC457" t="s">
        <v>70</v>
      </c>
      <c r="BD457">
        <v>-0.374</v>
      </c>
      <c r="BE457">
        <v>-0.70399999999999996</v>
      </c>
      <c r="BF457" t="s">
        <v>71</v>
      </c>
      <c r="BG457">
        <v>0.124060150375939</v>
      </c>
      <c r="BI457">
        <v>62</v>
      </c>
      <c r="BJ457">
        <v>1.789E-2</v>
      </c>
      <c r="BK457">
        <v>0.124060150375939</v>
      </c>
    </row>
    <row r="458" spans="1:63">
      <c r="A458">
        <v>2598</v>
      </c>
      <c r="B458" t="s">
        <v>2587</v>
      </c>
      <c r="D458" t="s">
        <v>66</v>
      </c>
      <c r="E458">
        <v>2624788</v>
      </c>
      <c r="F458">
        <v>2625912</v>
      </c>
      <c r="G458" t="s">
        <v>2589</v>
      </c>
      <c r="H458">
        <v>375</v>
      </c>
      <c r="I458" t="s">
        <v>85</v>
      </c>
      <c r="J458">
        <v>4</v>
      </c>
      <c r="K458" t="str">
        <f>HYPERLINK("Gene2598-zp_tree_all.dnd", "Gene2598-tree")</f>
        <v>Gene2598-tree</v>
      </c>
      <c r="L458">
        <v>3</v>
      </c>
      <c r="M458">
        <v>1</v>
      </c>
      <c r="N458">
        <v>3</v>
      </c>
      <c r="O458">
        <v>1</v>
      </c>
      <c r="P458">
        <v>0.25</v>
      </c>
      <c r="Q458" t="s">
        <v>86</v>
      </c>
      <c r="R458" t="s">
        <v>65</v>
      </c>
      <c r="S458" t="s">
        <v>66</v>
      </c>
      <c r="T458" t="s">
        <v>66</v>
      </c>
      <c r="U458">
        <v>0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4</v>
      </c>
      <c r="AH458">
        <v>0</v>
      </c>
      <c r="AI458">
        <v>4</v>
      </c>
      <c r="AJ458">
        <v>1</v>
      </c>
      <c r="AK458">
        <v>53</v>
      </c>
      <c r="AL458">
        <v>4</v>
      </c>
      <c r="AM458">
        <v>5</v>
      </c>
      <c r="AN458">
        <v>0</v>
      </c>
      <c r="AO458" t="s">
        <v>2590</v>
      </c>
      <c r="AP458" t="s">
        <v>68</v>
      </c>
      <c r="AQ458">
        <v>0.40799999999999997</v>
      </c>
      <c r="AR458" t="s">
        <v>69</v>
      </c>
      <c r="AS458">
        <v>58</v>
      </c>
      <c r="AT458">
        <v>4</v>
      </c>
      <c r="AU458">
        <v>2.7109999999999999E-2</v>
      </c>
      <c r="AV458">
        <v>-8.09E-3</v>
      </c>
      <c r="AW458">
        <v>0.12848000000000001</v>
      </c>
      <c r="AX458">
        <v>-3.884E-2</v>
      </c>
      <c r="AY458">
        <v>2.3E-3</v>
      </c>
      <c r="AZ458">
        <v>-9.3999999999999997E-4</v>
      </c>
      <c r="BA458">
        <v>1.789E-2</v>
      </c>
      <c r="BB458">
        <v>1</v>
      </c>
      <c r="BC458" t="s">
        <v>70</v>
      </c>
      <c r="BD458">
        <v>-0.374</v>
      </c>
      <c r="BE458">
        <v>-0.70399999999999996</v>
      </c>
      <c r="BF458" t="s">
        <v>71</v>
      </c>
      <c r="BG458">
        <v>0.124060150375939</v>
      </c>
      <c r="BI458">
        <v>62</v>
      </c>
      <c r="BJ458">
        <v>1.789E-2</v>
      </c>
      <c r="BK458">
        <v>0.124060150375939</v>
      </c>
    </row>
    <row r="459" spans="1:63">
      <c r="A459">
        <v>2599</v>
      </c>
      <c r="B459" t="s">
        <v>2591</v>
      </c>
      <c r="D459" t="s">
        <v>66</v>
      </c>
      <c r="E459">
        <v>2626115</v>
      </c>
      <c r="F459">
        <v>2627947</v>
      </c>
      <c r="G459" t="s">
        <v>2593</v>
      </c>
      <c r="H459">
        <v>611</v>
      </c>
      <c r="I459" t="s">
        <v>63</v>
      </c>
      <c r="J459">
        <v>5</v>
      </c>
      <c r="K459" t="str">
        <f>HYPERLINK("Gene2599-zp_tree_all.dnd", "Gene2599-tree")</f>
        <v>Gene2599-tree</v>
      </c>
      <c r="L459">
        <v>4</v>
      </c>
      <c r="M459">
        <v>1</v>
      </c>
      <c r="N459">
        <v>4</v>
      </c>
      <c r="O459">
        <v>1</v>
      </c>
      <c r="P459">
        <v>0.2</v>
      </c>
      <c r="Q459" t="s">
        <v>64</v>
      </c>
      <c r="R459" t="s">
        <v>65</v>
      </c>
      <c r="S459" t="s">
        <v>66</v>
      </c>
      <c r="T459" t="s">
        <v>66</v>
      </c>
      <c r="U459">
        <v>0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0</v>
      </c>
      <c r="AB459">
        <v>3</v>
      </c>
      <c r="AC459">
        <v>0</v>
      </c>
      <c r="AD459">
        <v>0</v>
      </c>
      <c r="AE459">
        <v>0</v>
      </c>
      <c r="AF459">
        <v>0</v>
      </c>
      <c r="AG459">
        <v>1</v>
      </c>
      <c r="AH459">
        <v>0</v>
      </c>
      <c r="AI459">
        <v>4</v>
      </c>
      <c r="AJ459">
        <v>2</v>
      </c>
      <c r="AK459">
        <v>53</v>
      </c>
      <c r="AL459">
        <v>1</v>
      </c>
      <c r="AM459">
        <v>28</v>
      </c>
      <c r="AN459">
        <v>3</v>
      </c>
      <c r="AO459" t="s">
        <v>2594</v>
      </c>
      <c r="AP459" t="s">
        <v>2595</v>
      </c>
      <c r="AQ459">
        <v>1.8380000000000001</v>
      </c>
      <c r="AR459" t="s">
        <v>69</v>
      </c>
      <c r="AS459">
        <v>81</v>
      </c>
      <c r="AT459">
        <v>4</v>
      </c>
      <c r="AU459">
        <v>2.171E-2</v>
      </c>
      <c r="AV459">
        <v>-3.5100000000000001E-3</v>
      </c>
      <c r="AW459">
        <v>9.5350000000000004E-2</v>
      </c>
      <c r="AX459">
        <v>-1.5779999999999999E-2</v>
      </c>
      <c r="AY459">
        <v>1.57E-3</v>
      </c>
      <c r="AZ459">
        <v>-2.9999999999999997E-4</v>
      </c>
      <c r="BA459">
        <v>1.643E-2</v>
      </c>
      <c r="BB459">
        <v>1</v>
      </c>
      <c r="BC459" t="s">
        <v>70</v>
      </c>
      <c r="BD459">
        <v>-8.0000000000000002E-3</v>
      </c>
      <c r="BE459">
        <v>-0.19800000000000001</v>
      </c>
      <c r="BF459" t="s">
        <v>71</v>
      </c>
      <c r="BG459">
        <v>1.9753086419752999E-2</v>
      </c>
      <c r="BI459">
        <v>85</v>
      </c>
      <c r="BJ459">
        <v>1.643E-2</v>
      </c>
      <c r="BK459">
        <v>1.9753086419752999E-2</v>
      </c>
    </row>
    <row r="460" spans="1:63">
      <c r="A460">
        <v>2599</v>
      </c>
      <c r="B460" t="s">
        <v>2591</v>
      </c>
      <c r="D460" t="s">
        <v>66</v>
      </c>
      <c r="E460">
        <v>2626115</v>
      </c>
      <c r="F460">
        <v>2627947</v>
      </c>
      <c r="G460" t="s">
        <v>2593</v>
      </c>
      <c r="H460">
        <v>611</v>
      </c>
      <c r="I460" t="s">
        <v>63</v>
      </c>
      <c r="J460">
        <v>5</v>
      </c>
      <c r="K460" t="str">
        <f>HYPERLINK("Gene2599-zp_tree_all.dnd", "Gene2599-tree")</f>
        <v>Gene2599-tree</v>
      </c>
      <c r="L460">
        <v>4</v>
      </c>
      <c r="M460">
        <v>1</v>
      </c>
      <c r="N460">
        <v>4</v>
      </c>
      <c r="O460">
        <v>1</v>
      </c>
      <c r="P460">
        <v>0.2</v>
      </c>
      <c r="Q460" t="s">
        <v>64</v>
      </c>
      <c r="R460" t="s">
        <v>65</v>
      </c>
      <c r="S460" t="s">
        <v>66</v>
      </c>
      <c r="T460" t="s">
        <v>66</v>
      </c>
      <c r="U460">
        <v>0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3</v>
      </c>
      <c r="AC460">
        <v>0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4</v>
      </c>
      <c r="AJ460">
        <v>2</v>
      </c>
      <c r="AK460">
        <v>53</v>
      </c>
      <c r="AL460">
        <v>1</v>
      </c>
      <c r="AM460">
        <v>28</v>
      </c>
      <c r="AN460">
        <v>3</v>
      </c>
      <c r="AO460" t="s">
        <v>2594</v>
      </c>
      <c r="AP460" t="s">
        <v>2595</v>
      </c>
      <c r="AQ460">
        <v>1.8380000000000001</v>
      </c>
      <c r="AR460" t="s">
        <v>69</v>
      </c>
      <c r="AS460">
        <v>81</v>
      </c>
      <c r="AT460">
        <v>4</v>
      </c>
      <c r="AU460">
        <v>2.171E-2</v>
      </c>
      <c r="AV460">
        <v>-3.5100000000000001E-3</v>
      </c>
      <c r="AW460">
        <v>9.5350000000000004E-2</v>
      </c>
      <c r="AX460">
        <v>-1.5779999999999999E-2</v>
      </c>
      <c r="AY460">
        <v>1.57E-3</v>
      </c>
      <c r="AZ460">
        <v>-2.9999999999999997E-4</v>
      </c>
      <c r="BA460">
        <v>1.643E-2</v>
      </c>
      <c r="BB460">
        <v>1</v>
      </c>
      <c r="BC460" t="s">
        <v>70</v>
      </c>
      <c r="BD460">
        <v>-8.0000000000000002E-3</v>
      </c>
      <c r="BE460">
        <v>-0.19800000000000001</v>
      </c>
      <c r="BF460" t="s">
        <v>71</v>
      </c>
      <c r="BG460">
        <v>1.9753086419752999E-2</v>
      </c>
      <c r="BI460">
        <v>85</v>
      </c>
      <c r="BJ460">
        <v>1.643E-2</v>
      </c>
      <c r="BK460">
        <v>1.9753086419752999E-2</v>
      </c>
    </row>
    <row r="461" spans="1:63">
      <c r="A461">
        <v>2599</v>
      </c>
      <c r="B461" t="s">
        <v>2591</v>
      </c>
      <c r="D461" t="s">
        <v>66</v>
      </c>
      <c r="E461">
        <v>2626115</v>
      </c>
      <c r="F461">
        <v>2627947</v>
      </c>
      <c r="G461" t="s">
        <v>2593</v>
      </c>
      <c r="H461">
        <v>611</v>
      </c>
      <c r="I461" t="s">
        <v>63</v>
      </c>
      <c r="J461">
        <v>5</v>
      </c>
      <c r="K461" t="str">
        <f>HYPERLINK("Gene2599-zp_tree_all.dnd", "Gene2599-tree")</f>
        <v>Gene2599-tree</v>
      </c>
      <c r="L461">
        <v>4</v>
      </c>
      <c r="M461">
        <v>1</v>
      </c>
      <c r="N461">
        <v>4</v>
      </c>
      <c r="O461">
        <v>1</v>
      </c>
      <c r="P461">
        <v>0.2</v>
      </c>
      <c r="Q461" t="s">
        <v>64</v>
      </c>
      <c r="R461" t="s">
        <v>65</v>
      </c>
      <c r="S461" t="s">
        <v>66</v>
      </c>
      <c r="T461" t="s">
        <v>66</v>
      </c>
      <c r="U461">
        <v>0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3</v>
      </c>
      <c r="AC461">
        <v>0</v>
      </c>
      <c r="AD461">
        <v>0</v>
      </c>
      <c r="AE461">
        <v>0</v>
      </c>
      <c r="AF461">
        <v>0</v>
      </c>
      <c r="AG461">
        <v>1</v>
      </c>
      <c r="AH461">
        <v>0</v>
      </c>
      <c r="AI461">
        <v>4</v>
      </c>
      <c r="AJ461">
        <v>2</v>
      </c>
      <c r="AK461">
        <v>53</v>
      </c>
      <c r="AL461">
        <v>1</v>
      </c>
      <c r="AM461">
        <v>28</v>
      </c>
      <c r="AN461">
        <v>3</v>
      </c>
      <c r="AO461" t="s">
        <v>2594</v>
      </c>
      <c r="AP461" t="s">
        <v>2595</v>
      </c>
      <c r="AQ461">
        <v>1.8380000000000001</v>
      </c>
      <c r="AR461" t="s">
        <v>69</v>
      </c>
      <c r="AS461">
        <v>81</v>
      </c>
      <c r="AT461">
        <v>4</v>
      </c>
      <c r="AU461">
        <v>2.171E-2</v>
      </c>
      <c r="AV461">
        <v>-3.5100000000000001E-3</v>
      </c>
      <c r="AW461">
        <v>9.5350000000000004E-2</v>
      </c>
      <c r="AX461">
        <v>-1.5779999999999999E-2</v>
      </c>
      <c r="AY461">
        <v>1.57E-3</v>
      </c>
      <c r="AZ461">
        <v>-2.9999999999999997E-4</v>
      </c>
      <c r="BA461">
        <v>1.643E-2</v>
      </c>
      <c r="BB461">
        <v>1</v>
      </c>
      <c r="BC461" t="s">
        <v>70</v>
      </c>
      <c r="BD461">
        <v>-8.0000000000000002E-3</v>
      </c>
      <c r="BE461">
        <v>-0.19800000000000001</v>
      </c>
      <c r="BF461" t="s">
        <v>71</v>
      </c>
      <c r="BG461">
        <v>1.9753086419752999E-2</v>
      </c>
      <c r="BI461">
        <v>85</v>
      </c>
      <c r="BJ461">
        <v>1.643E-2</v>
      </c>
      <c r="BK461">
        <v>1.9753086419752999E-2</v>
      </c>
    </row>
    <row r="462" spans="1:63">
      <c r="A462">
        <v>2600</v>
      </c>
      <c r="B462" t="s">
        <v>2596</v>
      </c>
      <c r="D462" t="s">
        <v>66</v>
      </c>
      <c r="E462">
        <v>2627974</v>
      </c>
      <c r="F462">
        <v>2628534</v>
      </c>
      <c r="G462" t="s">
        <v>2598</v>
      </c>
      <c r="H462">
        <v>187</v>
      </c>
      <c r="I462" t="s">
        <v>63</v>
      </c>
      <c r="J462">
        <v>5</v>
      </c>
      <c r="K462" t="str">
        <f>HYPERLINK("Gene2600-zp_tree_all.dnd", "Gene2600-tree")</f>
        <v>Gene2600-tree</v>
      </c>
      <c r="L462">
        <v>3</v>
      </c>
      <c r="M462">
        <v>2</v>
      </c>
      <c r="N462">
        <v>3</v>
      </c>
      <c r="O462">
        <v>2</v>
      </c>
      <c r="P462">
        <v>0.4</v>
      </c>
      <c r="Q462" t="s">
        <v>86</v>
      </c>
      <c r="R462" t="s">
        <v>124</v>
      </c>
      <c r="S462" t="s">
        <v>66</v>
      </c>
      <c r="T462" t="s">
        <v>66</v>
      </c>
      <c r="U462">
        <v>1</v>
      </c>
      <c r="V462">
        <v>2</v>
      </c>
      <c r="W462">
        <v>4</v>
      </c>
      <c r="X462">
        <v>0.33333000000000002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2</v>
      </c>
      <c r="AF462">
        <v>2</v>
      </c>
      <c r="AG462">
        <v>4</v>
      </c>
      <c r="AH462">
        <v>0.33333000000000002</v>
      </c>
      <c r="AI462">
        <v>5</v>
      </c>
      <c r="AJ462">
        <v>1</v>
      </c>
      <c r="AK462">
        <v>24</v>
      </c>
      <c r="AL462">
        <v>4</v>
      </c>
      <c r="AM462">
        <v>7</v>
      </c>
      <c r="AN462">
        <v>2</v>
      </c>
      <c r="AO462" t="s">
        <v>2599</v>
      </c>
      <c r="AP462" t="s">
        <v>2600</v>
      </c>
      <c r="AQ462">
        <v>0.68700000000000006</v>
      </c>
      <c r="AR462" t="s">
        <v>69</v>
      </c>
      <c r="AS462">
        <v>31</v>
      </c>
      <c r="AT462">
        <v>6</v>
      </c>
      <c r="AU462">
        <v>2.8160000000000001E-2</v>
      </c>
      <c r="AV462">
        <v>-4.9800000000000001E-3</v>
      </c>
      <c r="AW462">
        <v>0.12975</v>
      </c>
      <c r="AX462">
        <v>-2.4490000000000001E-2</v>
      </c>
      <c r="AY462">
        <v>6.28E-3</v>
      </c>
      <c r="AZ462">
        <v>-1.2999999999999999E-3</v>
      </c>
      <c r="BA462">
        <v>4.8379999999999999E-2</v>
      </c>
      <c r="BB462">
        <v>1</v>
      </c>
      <c r="BC462" t="s">
        <v>70</v>
      </c>
      <c r="BD462">
        <v>-0.23899999999999999</v>
      </c>
      <c r="BE462">
        <v>-0.69799999999999995</v>
      </c>
      <c r="BF462" t="s">
        <v>71</v>
      </c>
      <c r="BG462">
        <v>7.8189300411522597E-2</v>
      </c>
      <c r="BI462">
        <v>37</v>
      </c>
      <c r="BJ462">
        <v>4.8379999999999999E-2</v>
      </c>
      <c r="BK462">
        <v>7.8189300411522597E-2</v>
      </c>
    </row>
    <row r="463" spans="1:63">
      <c r="A463">
        <v>2601</v>
      </c>
      <c r="B463" t="s">
        <v>2601</v>
      </c>
      <c r="D463" t="s">
        <v>66</v>
      </c>
      <c r="E463">
        <v>2628609</v>
      </c>
      <c r="F463">
        <v>2629637</v>
      </c>
      <c r="G463" t="s">
        <v>2603</v>
      </c>
      <c r="H463">
        <v>343</v>
      </c>
      <c r="I463" t="s">
        <v>63</v>
      </c>
      <c r="J463">
        <v>5</v>
      </c>
      <c r="K463" t="str">
        <f>HYPERLINK("Gene2601-zp_tree_all.dnd", "Gene2601-tree")</f>
        <v>Gene2601-tree</v>
      </c>
      <c r="L463">
        <v>4</v>
      </c>
      <c r="M463">
        <v>1</v>
      </c>
      <c r="N463">
        <v>4</v>
      </c>
      <c r="O463">
        <v>1</v>
      </c>
      <c r="P463">
        <v>0.2</v>
      </c>
      <c r="Q463" t="s">
        <v>64</v>
      </c>
      <c r="R463" t="s">
        <v>65</v>
      </c>
      <c r="S463" t="s">
        <v>66</v>
      </c>
      <c r="T463" t="s">
        <v>66</v>
      </c>
      <c r="U463">
        <v>0</v>
      </c>
      <c r="V463">
        <v>0</v>
      </c>
      <c r="W463">
        <v>2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G463">
        <v>1</v>
      </c>
      <c r="AH463">
        <v>0</v>
      </c>
      <c r="AI463">
        <v>5</v>
      </c>
      <c r="AJ463">
        <v>2</v>
      </c>
      <c r="AK463">
        <v>30</v>
      </c>
      <c r="AL463">
        <v>1</v>
      </c>
      <c r="AM463">
        <v>31</v>
      </c>
      <c r="AN463">
        <v>1</v>
      </c>
      <c r="AO463" t="s">
        <v>2604</v>
      </c>
      <c r="AP463" t="s">
        <v>2605</v>
      </c>
      <c r="AQ463">
        <v>0.04</v>
      </c>
      <c r="AR463" t="s">
        <v>69</v>
      </c>
      <c r="AS463">
        <v>61</v>
      </c>
      <c r="AT463">
        <v>2</v>
      </c>
      <c r="AU463">
        <v>3.022E-2</v>
      </c>
      <c r="AV463">
        <v>-4.9300000000000004E-3</v>
      </c>
      <c r="AW463">
        <v>0.14601</v>
      </c>
      <c r="AX463">
        <v>-2.4879999999999999E-2</v>
      </c>
      <c r="AY463">
        <v>1.2600000000000001E-3</v>
      </c>
      <c r="AZ463">
        <v>-3.1E-4</v>
      </c>
      <c r="BA463">
        <v>8.6199999999999992E-3</v>
      </c>
      <c r="BB463">
        <v>1</v>
      </c>
      <c r="BC463" t="s">
        <v>70</v>
      </c>
      <c r="BD463">
        <v>0.60399999999999998</v>
      </c>
      <c r="BE463">
        <v>0.47299999999999998</v>
      </c>
      <c r="BF463" t="s">
        <v>71</v>
      </c>
      <c r="BG463">
        <v>6.9930069930069904E-3</v>
      </c>
      <c r="BI463">
        <v>63</v>
      </c>
      <c r="BJ463">
        <v>8.6199999999999992E-3</v>
      </c>
      <c r="BK463">
        <v>6.9930069930069904E-3</v>
      </c>
    </row>
    <row r="464" spans="1:63">
      <c r="A464">
        <v>2608</v>
      </c>
      <c r="B464" t="s">
        <v>2609</v>
      </c>
      <c r="D464" t="s">
        <v>66</v>
      </c>
      <c r="E464">
        <v>2636099</v>
      </c>
      <c r="F464">
        <v>2637139</v>
      </c>
      <c r="G464" t="s">
        <v>74</v>
      </c>
      <c r="H464">
        <v>347</v>
      </c>
      <c r="I464" t="s">
        <v>63</v>
      </c>
      <c r="J464">
        <v>5</v>
      </c>
      <c r="K464" t="str">
        <f>HYPERLINK("Gene2608-zp_tree_all.dnd", "Gene2608-tree")</f>
        <v>Gene2608-tree</v>
      </c>
      <c r="L464">
        <v>1</v>
      </c>
      <c r="M464">
        <v>4</v>
      </c>
      <c r="N464">
        <v>1</v>
      </c>
      <c r="O464">
        <v>4</v>
      </c>
      <c r="P464">
        <v>0.8</v>
      </c>
      <c r="Q464" t="s">
        <v>65</v>
      </c>
      <c r="R464" t="s">
        <v>64</v>
      </c>
      <c r="S464" t="s">
        <v>66</v>
      </c>
      <c r="T464" t="s">
        <v>66</v>
      </c>
      <c r="U464">
        <v>1</v>
      </c>
      <c r="V464">
        <v>2</v>
      </c>
      <c r="W464">
        <v>8</v>
      </c>
      <c r="X464">
        <v>0.2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2</v>
      </c>
      <c r="AF464">
        <v>2</v>
      </c>
      <c r="AG464">
        <v>8</v>
      </c>
      <c r="AH464">
        <v>0.2</v>
      </c>
      <c r="AI464">
        <v>5</v>
      </c>
      <c r="AJ464">
        <v>2</v>
      </c>
      <c r="AK464">
        <v>46</v>
      </c>
      <c r="AL464">
        <v>6</v>
      </c>
      <c r="AM464">
        <v>28</v>
      </c>
      <c r="AN464">
        <v>4</v>
      </c>
      <c r="AO464" t="s">
        <v>2611</v>
      </c>
      <c r="AP464" t="s">
        <v>2612</v>
      </c>
      <c r="AQ464">
        <v>9.5000000000000001E-2</v>
      </c>
      <c r="AR464" t="s">
        <v>69</v>
      </c>
      <c r="AS464">
        <v>74</v>
      </c>
      <c r="AT464">
        <v>10</v>
      </c>
      <c r="AU464">
        <v>3.5929999999999997E-2</v>
      </c>
      <c r="AV464">
        <v>-4.8799999999999998E-3</v>
      </c>
      <c r="AW464">
        <v>0.16344</v>
      </c>
      <c r="AX464">
        <v>-2.3859999999999999E-2</v>
      </c>
      <c r="AY464">
        <v>5.5700000000000003E-3</v>
      </c>
      <c r="AZ464">
        <v>-7.2999999999999996E-4</v>
      </c>
      <c r="BA464">
        <v>3.4049999999999997E-2</v>
      </c>
      <c r="BB464">
        <v>1</v>
      </c>
      <c r="BC464" t="s">
        <v>70</v>
      </c>
      <c r="BD464">
        <v>0.29499999999999998</v>
      </c>
      <c r="BE464">
        <v>-8.4000000000000005E-2</v>
      </c>
      <c r="BF464" t="s">
        <v>71</v>
      </c>
      <c r="BG464">
        <v>0.126436781609195</v>
      </c>
      <c r="BI464">
        <v>84</v>
      </c>
      <c r="BJ464">
        <v>3.4049999999999997E-2</v>
      </c>
      <c r="BK464">
        <v>0.126436781609195</v>
      </c>
    </row>
    <row r="465" spans="1:63">
      <c r="A465">
        <v>2617</v>
      </c>
      <c r="B465" t="s">
        <v>2620</v>
      </c>
      <c r="D465" t="s">
        <v>66</v>
      </c>
      <c r="E465">
        <v>2643768</v>
      </c>
      <c r="F465">
        <v>2644334</v>
      </c>
      <c r="G465" t="s">
        <v>2622</v>
      </c>
      <c r="H465">
        <v>189</v>
      </c>
      <c r="I465" t="s">
        <v>63</v>
      </c>
      <c r="J465">
        <v>5</v>
      </c>
      <c r="K465" t="str">
        <f>HYPERLINK("Gene2617-zp_tree_all.dnd", "Gene2617-tree")</f>
        <v>Gene2617-tree</v>
      </c>
      <c r="L465">
        <v>4</v>
      </c>
      <c r="M465">
        <v>1</v>
      </c>
      <c r="N465">
        <v>4</v>
      </c>
      <c r="O465">
        <v>1</v>
      </c>
      <c r="P465">
        <v>0.2</v>
      </c>
      <c r="Q465" t="s">
        <v>64</v>
      </c>
      <c r="R465" t="s">
        <v>65</v>
      </c>
      <c r="S465" t="s">
        <v>66</v>
      </c>
      <c r="T465" t="s">
        <v>66</v>
      </c>
      <c r="U465">
        <v>0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0</v>
      </c>
      <c r="AB465">
        <v>3</v>
      </c>
      <c r="AC465">
        <v>0</v>
      </c>
      <c r="AD465">
        <v>0</v>
      </c>
      <c r="AE465">
        <v>0</v>
      </c>
      <c r="AF465">
        <v>0</v>
      </c>
      <c r="AG465">
        <v>1</v>
      </c>
      <c r="AH465">
        <v>0</v>
      </c>
      <c r="AI465">
        <v>5</v>
      </c>
      <c r="AJ465">
        <v>2</v>
      </c>
      <c r="AK465">
        <v>9</v>
      </c>
      <c r="AL465">
        <v>1</v>
      </c>
      <c r="AM465">
        <v>13</v>
      </c>
      <c r="AN465">
        <v>3</v>
      </c>
      <c r="AO465" t="s">
        <v>2623</v>
      </c>
      <c r="AP465" t="s">
        <v>2624</v>
      </c>
      <c r="AQ465">
        <v>0.47199999999999998</v>
      </c>
      <c r="AR465" t="s">
        <v>69</v>
      </c>
      <c r="AS465">
        <v>22</v>
      </c>
      <c r="AT465">
        <v>4</v>
      </c>
      <c r="AU465">
        <v>2.257E-2</v>
      </c>
      <c r="AV465">
        <v>-3.96E-3</v>
      </c>
      <c r="AW465">
        <v>9.2399999999999996E-2</v>
      </c>
      <c r="AX465">
        <v>-1.6809999999999999E-2</v>
      </c>
      <c r="AY465">
        <v>4.9899999999999996E-3</v>
      </c>
      <c r="AZ465">
        <v>-9.5E-4</v>
      </c>
      <c r="BA465">
        <v>5.4030000000000002E-2</v>
      </c>
      <c r="BB465">
        <v>1</v>
      </c>
      <c r="BC465" t="s">
        <v>70</v>
      </c>
      <c r="BD465">
        <v>1.1839999999999999</v>
      </c>
      <c r="BE465">
        <v>0.64600000000000002</v>
      </c>
      <c r="BF465" t="s">
        <v>71</v>
      </c>
      <c r="BG465">
        <v>7.0539419087136901E-2</v>
      </c>
      <c r="BI465">
        <v>26</v>
      </c>
      <c r="BJ465">
        <v>5.4030000000000002E-2</v>
      </c>
      <c r="BK465">
        <v>7.0539419087136901E-2</v>
      </c>
    </row>
    <row r="466" spans="1:63">
      <c r="A466">
        <v>2618</v>
      </c>
      <c r="B466" t="s">
        <v>2625</v>
      </c>
      <c r="D466" t="s">
        <v>66</v>
      </c>
      <c r="E466">
        <v>2644349</v>
      </c>
      <c r="F466">
        <v>2644636</v>
      </c>
      <c r="G466" t="s">
        <v>2627</v>
      </c>
      <c r="H466">
        <v>96</v>
      </c>
      <c r="I466" t="s">
        <v>63</v>
      </c>
      <c r="J466">
        <v>5</v>
      </c>
      <c r="K466" t="str">
        <f>HYPERLINK("Gene2618-zp_tree_all.dnd", "Gene2618-tree")</f>
        <v>Gene2618-tree</v>
      </c>
      <c r="L466">
        <v>3</v>
      </c>
      <c r="M466">
        <v>2</v>
      </c>
      <c r="N466">
        <v>2</v>
      </c>
      <c r="O466">
        <v>2</v>
      </c>
      <c r="P466">
        <v>0.5</v>
      </c>
      <c r="Q466" t="s">
        <v>185</v>
      </c>
      <c r="R466" t="s">
        <v>124</v>
      </c>
      <c r="S466" t="s">
        <v>66</v>
      </c>
      <c r="T466" t="s">
        <v>66</v>
      </c>
      <c r="U466">
        <v>0</v>
      </c>
      <c r="V466">
        <v>0</v>
      </c>
      <c r="W466">
        <v>2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2</v>
      </c>
      <c r="AH466">
        <v>0</v>
      </c>
      <c r="AI466">
        <v>3</v>
      </c>
      <c r="AJ466">
        <v>1</v>
      </c>
      <c r="AK466">
        <v>5</v>
      </c>
      <c r="AL466">
        <v>2</v>
      </c>
      <c r="AM466">
        <v>4</v>
      </c>
      <c r="AN466">
        <v>0</v>
      </c>
      <c r="AO466" t="s">
        <v>2628</v>
      </c>
      <c r="AP466" t="s">
        <v>68</v>
      </c>
      <c r="AQ466">
        <v>2.9750000000000001</v>
      </c>
      <c r="AR466" t="s">
        <v>239</v>
      </c>
      <c r="AS466">
        <v>9</v>
      </c>
      <c r="AT466">
        <v>2</v>
      </c>
      <c r="AU466">
        <v>1.9099999999999999E-2</v>
      </c>
      <c r="AV466">
        <v>-3.0300000000000001E-3</v>
      </c>
      <c r="AW466">
        <v>7.7530000000000002E-2</v>
      </c>
      <c r="AX466">
        <v>-1.372E-2</v>
      </c>
      <c r="AY466">
        <v>4.4400000000000004E-3</v>
      </c>
      <c r="AZ466">
        <v>-1.0499999999999999E-3</v>
      </c>
      <c r="BA466">
        <v>5.7209999999999997E-2</v>
      </c>
      <c r="BB466">
        <v>1</v>
      </c>
      <c r="BC466" t="s">
        <v>70</v>
      </c>
      <c r="BD466">
        <v>0.625</v>
      </c>
      <c r="BE466">
        <v>-0.19700000000000001</v>
      </c>
      <c r="BF466" t="s">
        <v>71</v>
      </c>
      <c r="BG466">
        <v>0.182608695652173</v>
      </c>
      <c r="BI466">
        <v>11</v>
      </c>
      <c r="BJ466">
        <v>5.7209999999999997E-2</v>
      </c>
      <c r="BK466">
        <v>0.182608695652173</v>
      </c>
    </row>
    <row r="467" spans="1:63">
      <c r="A467">
        <v>2621</v>
      </c>
      <c r="B467" t="s">
        <v>2629</v>
      </c>
      <c r="D467" t="s">
        <v>66</v>
      </c>
      <c r="E467">
        <v>2646597</v>
      </c>
      <c r="F467">
        <v>2647112</v>
      </c>
      <c r="G467" t="s">
        <v>74</v>
      </c>
      <c r="H467">
        <v>172</v>
      </c>
      <c r="I467" t="s">
        <v>63</v>
      </c>
      <c r="J467">
        <v>5</v>
      </c>
      <c r="K467" t="str">
        <f>HYPERLINK("Gene2621-zp_tree_all.dnd", "Gene2621-tree")</f>
        <v>Gene2621-tree</v>
      </c>
      <c r="L467">
        <v>5</v>
      </c>
      <c r="M467">
        <v>0</v>
      </c>
      <c r="N467">
        <v>5</v>
      </c>
      <c r="O467">
        <v>0</v>
      </c>
      <c r="P467">
        <v>0</v>
      </c>
      <c r="Q467" t="s">
        <v>96</v>
      </c>
      <c r="R467" t="s">
        <v>66</v>
      </c>
      <c r="S467" t="s">
        <v>66</v>
      </c>
      <c r="T467" t="s">
        <v>66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4</v>
      </c>
      <c r="AJ467">
        <v>1</v>
      </c>
      <c r="AK467">
        <v>13</v>
      </c>
      <c r="AL467">
        <v>0</v>
      </c>
      <c r="AM467">
        <v>12</v>
      </c>
      <c r="AN467">
        <v>0</v>
      </c>
      <c r="AO467" t="s">
        <v>68</v>
      </c>
      <c r="AP467" t="s">
        <v>68</v>
      </c>
      <c r="AQ467">
        <v>0</v>
      </c>
      <c r="AR467" t="s">
        <v>69</v>
      </c>
      <c r="AS467">
        <v>25</v>
      </c>
      <c r="AT467">
        <v>0</v>
      </c>
      <c r="AU467">
        <v>2.4029999999999999E-2</v>
      </c>
      <c r="AV467">
        <v>-4.64E-3</v>
      </c>
      <c r="AW467">
        <v>0.12349</v>
      </c>
      <c r="AX467">
        <v>-2.4250000000000001E-2</v>
      </c>
      <c r="AY467">
        <v>0</v>
      </c>
      <c r="AZ467">
        <v>0</v>
      </c>
      <c r="BA467">
        <v>0</v>
      </c>
      <c r="BB467">
        <v>1</v>
      </c>
      <c r="BC467" t="s">
        <v>70</v>
      </c>
      <c r="BD467">
        <v>0.248</v>
      </c>
      <c r="BE467">
        <v>0.248</v>
      </c>
      <c r="BF467" t="s">
        <v>71</v>
      </c>
      <c r="BG467">
        <v>0.13004484304932701</v>
      </c>
      <c r="BI467">
        <v>25</v>
      </c>
      <c r="BJ467">
        <v>0</v>
      </c>
      <c r="BK467">
        <v>0.13004484304932701</v>
      </c>
    </row>
    <row r="468" spans="1:63">
      <c r="A468">
        <v>2756</v>
      </c>
      <c r="B468" t="s">
        <v>2645</v>
      </c>
      <c r="D468" t="s">
        <v>66</v>
      </c>
      <c r="E468">
        <v>2762398</v>
      </c>
      <c r="F468">
        <v>2762835</v>
      </c>
      <c r="G468" t="s">
        <v>2647</v>
      </c>
      <c r="H468">
        <v>146</v>
      </c>
      <c r="I468" t="s">
        <v>63</v>
      </c>
      <c r="J468">
        <v>5</v>
      </c>
      <c r="K468" t="str">
        <f>HYPERLINK("Gene2756-zp_tree_all.dnd", "Gene2756-tree")</f>
        <v>Gene2756-tree</v>
      </c>
      <c r="L468">
        <v>1</v>
      </c>
      <c r="M468">
        <v>4</v>
      </c>
      <c r="N468">
        <v>1</v>
      </c>
      <c r="O468">
        <v>4</v>
      </c>
      <c r="P468">
        <v>0.8</v>
      </c>
      <c r="Q468" t="s">
        <v>65</v>
      </c>
      <c r="R468" t="s">
        <v>64</v>
      </c>
      <c r="S468" t="s">
        <v>66</v>
      </c>
      <c r="T468" t="s">
        <v>66</v>
      </c>
      <c r="U468">
        <v>1</v>
      </c>
      <c r="V468">
        <v>2</v>
      </c>
      <c r="W468">
        <v>10</v>
      </c>
      <c r="X468">
        <v>0.16667000000000001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2</v>
      </c>
      <c r="AE468">
        <v>0</v>
      </c>
      <c r="AF468">
        <v>2</v>
      </c>
      <c r="AG468">
        <v>10</v>
      </c>
      <c r="AH468">
        <v>0.16667000000000001</v>
      </c>
      <c r="AI468">
        <v>5</v>
      </c>
      <c r="AJ468">
        <v>2</v>
      </c>
      <c r="AK468">
        <v>8</v>
      </c>
      <c r="AL468">
        <v>8</v>
      </c>
      <c r="AM468">
        <v>11</v>
      </c>
      <c r="AN468">
        <v>4</v>
      </c>
      <c r="AO468" t="s">
        <v>2648</v>
      </c>
      <c r="AP468" t="s">
        <v>2649</v>
      </c>
      <c r="AQ468">
        <v>0.84599999999999997</v>
      </c>
      <c r="AR468" t="s">
        <v>69</v>
      </c>
      <c r="AS468">
        <v>19</v>
      </c>
      <c r="AT468">
        <v>12</v>
      </c>
      <c r="AU468">
        <v>3.4250000000000003E-2</v>
      </c>
      <c r="AV468">
        <v>-5.4299999999999999E-3</v>
      </c>
      <c r="AW468">
        <v>0.11283</v>
      </c>
      <c r="AX468">
        <v>-2.1219999999999999E-2</v>
      </c>
      <c r="AY468">
        <v>1.6E-2</v>
      </c>
      <c r="AZ468">
        <v>-2.4299999999999999E-3</v>
      </c>
      <c r="BA468">
        <v>0.14179</v>
      </c>
      <c r="BB468">
        <v>1</v>
      </c>
      <c r="BC468" t="s">
        <v>70</v>
      </c>
      <c r="BD468">
        <v>0.52600000000000002</v>
      </c>
      <c r="BE468">
        <v>0.25800000000000001</v>
      </c>
      <c r="BF468" t="s">
        <v>71</v>
      </c>
      <c r="BG468">
        <v>0.16666666666666599</v>
      </c>
      <c r="BI468">
        <v>31</v>
      </c>
      <c r="BJ468">
        <v>0.14179</v>
      </c>
      <c r="BK468">
        <v>0.16666666666666599</v>
      </c>
    </row>
    <row r="469" spans="1:63">
      <c r="A469">
        <v>2768</v>
      </c>
      <c r="B469" t="s">
        <v>2656</v>
      </c>
      <c r="D469" t="s">
        <v>66</v>
      </c>
      <c r="E469">
        <v>2778926</v>
      </c>
      <c r="F469">
        <v>2779072</v>
      </c>
      <c r="G469" t="s">
        <v>74</v>
      </c>
      <c r="H469">
        <v>49</v>
      </c>
      <c r="I469" t="s">
        <v>63</v>
      </c>
      <c r="J469">
        <v>5</v>
      </c>
      <c r="K469" t="str">
        <f>HYPERLINK("Gene2768-zp_tree_all.dnd", "Gene2768-tree")</f>
        <v>Gene2768-tree</v>
      </c>
      <c r="L469">
        <v>3</v>
      </c>
      <c r="M469">
        <v>2</v>
      </c>
      <c r="N469">
        <v>3</v>
      </c>
      <c r="O469">
        <v>2</v>
      </c>
      <c r="P469">
        <v>0.4</v>
      </c>
      <c r="Q469" t="s">
        <v>86</v>
      </c>
      <c r="R469" t="s">
        <v>124</v>
      </c>
      <c r="S469" t="s">
        <v>66</v>
      </c>
      <c r="T469" t="s">
        <v>66</v>
      </c>
      <c r="U469">
        <v>1</v>
      </c>
      <c r="V469">
        <v>2</v>
      </c>
      <c r="W469">
        <v>1</v>
      </c>
      <c r="X469">
        <v>0.66666999999999998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2</v>
      </c>
      <c r="AF469">
        <v>2</v>
      </c>
      <c r="AG469">
        <v>1</v>
      </c>
      <c r="AH469">
        <v>0.66666999999999998</v>
      </c>
      <c r="AI469">
        <v>3</v>
      </c>
      <c r="AJ469">
        <v>1</v>
      </c>
      <c r="AK469">
        <v>4</v>
      </c>
      <c r="AL469">
        <v>1</v>
      </c>
      <c r="AM469">
        <v>0</v>
      </c>
      <c r="AN469">
        <v>2</v>
      </c>
      <c r="AO469" t="s">
        <v>2658</v>
      </c>
      <c r="AP469" t="s">
        <v>68</v>
      </c>
      <c r="AQ469">
        <v>0.81100000000000005</v>
      </c>
      <c r="AR469" t="s">
        <v>69</v>
      </c>
      <c r="AS469">
        <v>4</v>
      </c>
      <c r="AT469">
        <v>3</v>
      </c>
      <c r="AU469">
        <v>1.9730000000000001E-2</v>
      </c>
      <c r="AV469">
        <v>-2.4399999999999999E-3</v>
      </c>
      <c r="AW469">
        <v>6.2149999999999997E-2</v>
      </c>
      <c r="AX469">
        <v>-1.1610000000000001E-2</v>
      </c>
      <c r="AY469">
        <v>1.0970000000000001E-2</v>
      </c>
      <c r="AZ469">
        <v>-2.3999999999999998E-3</v>
      </c>
      <c r="BA469">
        <v>0.17648</v>
      </c>
      <c r="BB469">
        <v>0.92400000000000004</v>
      </c>
      <c r="BC469" t="s">
        <v>188</v>
      </c>
      <c r="BD469">
        <v>4.8000000000000001E-2</v>
      </c>
      <c r="BE469">
        <v>-1.1459999999999999</v>
      </c>
      <c r="BF469" t="s">
        <v>71</v>
      </c>
      <c r="BG469">
        <v>8.3333333333333301E-2</v>
      </c>
      <c r="BI469">
        <v>7</v>
      </c>
      <c r="BJ469">
        <v>0.17648</v>
      </c>
      <c r="BK469">
        <v>8.3333333333333301E-2</v>
      </c>
    </row>
    <row r="470" spans="1:63">
      <c r="A470">
        <v>2781</v>
      </c>
      <c r="B470" t="s">
        <v>2663</v>
      </c>
      <c r="D470" t="s">
        <v>66</v>
      </c>
      <c r="E470">
        <v>2791497</v>
      </c>
      <c r="F470">
        <v>2791967</v>
      </c>
      <c r="G470" t="s">
        <v>2665</v>
      </c>
      <c r="H470">
        <v>157</v>
      </c>
      <c r="I470" t="s">
        <v>63</v>
      </c>
      <c r="J470">
        <v>5</v>
      </c>
      <c r="K470" t="str">
        <f>HYPERLINK("Gene2781-zp_tree_all.dnd", "Gene2781-tree")</f>
        <v>Gene2781-tree</v>
      </c>
      <c r="L470">
        <v>5</v>
      </c>
      <c r="M470">
        <v>0</v>
      </c>
      <c r="N470">
        <v>5</v>
      </c>
      <c r="O470">
        <v>0</v>
      </c>
      <c r="P470">
        <v>0</v>
      </c>
      <c r="Q470" t="s">
        <v>96</v>
      </c>
      <c r="R470" t="s">
        <v>66</v>
      </c>
      <c r="S470" t="s">
        <v>66</v>
      </c>
      <c r="T470" t="s">
        <v>66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3</v>
      </c>
      <c r="AJ470">
        <v>2</v>
      </c>
      <c r="AK470">
        <v>10</v>
      </c>
      <c r="AL470">
        <v>0</v>
      </c>
      <c r="AM470">
        <v>17</v>
      </c>
      <c r="AN470">
        <v>1</v>
      </c>
      <c r="AO470" t="s">
        <v>68</v>
      </c>
      <c r="AP470" t="s">
        <v>2666</v>
      </c>
      <c r="AQ470">
        <v>0.97699999999999998</v>
      </c>
      <c r="AR470" t="s">
        <v>69</v>
      </c>
      <c r="AS470">
        <v>27</v>
      </c>
      <c r="AT470">
        <v>1</v>
      </c>
      <c r="AU470">
        <v>2.9940000000000001E-2</v>
      </c>
      <c r="AV470">
        <v>-5.5399999999999998E-3</v>
      </c>
      <c r="AW470">
        <v>0.14241000000000001</v>
      </c>
      <c r="AX470">
        <v>-2.6749999999999999E-2</v>
      </c>
      <c r="AY470">
        <v>2.47E-3</v>
      </c>
      <c r="AZ470">
        <v>-6.8000000000000005E-4</v>
      </c>
      <c r="BA470">
        <v>1.7319999999999999E-2</v>
      </c>
      <c r="BB470">
        <v>1</v>
      </c>
      <c r="BC470" t="s">
        <v>70</v>
      </c>
      <c r="BD470">
        <v>0.96699999999999997</v>
      </c>
      <c r="BE470">
        <v>0.66900000000000004</v>
      </c>
      <c r="BF470" t="s">
        <v>71</v>
      </c>
      <c r="BG470">
        <v>0.16256157635467899</v>
      </c>
      <c r="BI470">
        <v>28</v>
      </c>
      <c r="BJ470">
        <v>1.7319999999999999E-2</v>
      </c>
      <c r="BK470">
        <v>0.16256157635467899</v>
      </c>
    </row>
    <row r="471" spans="1:63">
      <c r="A471">
        <v>2782</v>
      </c>
      <c r="B471" t="s">
        <v>2667</v>
      </c>
      <c r="D471" t="s">
        <v>66</v>
      </c>
      <c r="E471">
        <v>2792221</v>
      </c>
      <c r="F471">
        <v>2792853</v>
      </c>
      <c r="G471" t="s">
        <v>2669</v>
      </c>
      <c r="H471">
        <v>211</v>
      </c>
      <c r="I471" t="s">
        <v>63</v>
      </c>
      <c r="J471">
        <v>5</v>
      </c>
      <c r="K471" t="str">
        <f>HYPERLINK("Gene2782-zp_tree_all.dnd", "Gene2782-tree")</f>
        <v>Gene2782-tree</v>
      </c>
      <c r="L471">
        <v>5</v>
      </c>
      <c r="M471">
        <v>0</v>
      </c>
      <c r="N471">
        <v>4</v>
      </c>
      <c r="O471">
        <v>0</v>
      </c>
      <c r="P471">
        <v>0</v>
      </c>
      <c r="Q471" t="s">
        <v>135</v>
      </c>
      <c r="R471" t="s">
        <v>66</v>
      </c>
      <c r="S471" t="s">
        <v>66</v>
      </c>
      <c r="T471" t="s">
        <v>66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4</v>
      </c>
      <c r="AJ471">
        <v>1</v>
      </c>
      <c r="AK471">
        <v>21</v>
      </c>
      <c r="AL471">
        <v>0</v>
      </c>
      <c r="AM471">
        <v>14</v>
      </c>
      <c r="AN471">
        <v>0</v>
      </c>
      <c r="AO471" t="s">
        <v>68</v>
      </c>
      <c r="AP471" t="s">
        <v>68</v>
      </c>
      <c r="AQ471">
        <v>0</v>
      </c>
      <c r="AR471" t="s">
        <v>69</v>
      </c>
      <c r="AS471">
        <v>35</v>
      </c>
      <c r="AT471">
        <v>0</v>
      </c>
      <c r="AU471">
        <v>2.9749999999999999E-2</v>
      </c>
      <c r="AV471">
        <v>-4.3E-3</v>
      </c>
      <c r="AW471">
        <v>0.14641000000000001</v>
      </c>
      <c r="AX471">
        <v>-2.247E-2</v>
      </c>
      <c r="AY471">
        <v>0</v>
      </c>
      <c r="AZ471">
        <v>0</v>
      </c>
      <c r="BA471">
        <v>0</v>
      </c>
      <c r="BB471">
        <v>1</v>
      </c>
      <c r="BC471" t="s">
        <v>70</v>
      </c>
      <c r="BD471">
        <v>0.65300000000000002</v>
      </c>
      <c r="BE471">
        <v>0.40899999999999997</v>
      </c>
      <c r="BF471" t="s">
        <v>71</v>
      </c>
      <c r="BG471">
        <v>4.2145593869731802E-2</v>
      </c>
      <c r="BI471">
        <v>35</v>
      </c>
      <c r="BJ471">
        <v>0</v>
      </c>
      <c r="BK471">
        <v>4.2145593869731802E-2</v>
      </c>
    </row>
    <row r="472" spans="1:63">
      <c r="A472">
        <v>2783</v>
      </c>
      <c r="B472" t="s">
        <v>2670</v>
      </c>
      <c r="D472" t="s">
        <v>66</v>
      </c>
      <c r="E472">
        <v>2792863</v>
      </c>
      <c r="F472">
        <v>2794128</v>
      </c>
      <c r="G472" t="s">
        <v>2672</v>
      </c>
      <c r="H472">
        <v>422</v>
      </c>
      <c r="I472" t="s">
        <v>85</v>
      </c>
      <c r="J472">
        <v>4</v>
      </c>
      <c r="K472" t="str">
        <f>HYPERLINK("Gene2783-zp_tree_all.dnd", "Gene2783-tree")</f>
        <v>Gene2783-tree</v>
      </c>
      <c r="L472">
        <v>2</v>
      </c>
      <c r="M472">
        <v>2</v>
      </c>
      <c r="N472">
        <v>2</v>
      </c>
      <c r="O472">
        <v>2</v>
      </c>
      <c r="P472">
        <v>0.5</v>
      </c>
      <c r="Q472" t="s">
        <v>124</v>
      </c>
      <c r="R472" t="s">
        <v>124</v>
      </c>
      <c r="S472" t="s">
        <v>66</v>
      </c>
      <c r="T472" t="s">
        <v>66</v>
      </c>
      <c r="U472">
        <v>0</v>
      </c>
      <c r="V472">
        <v>0</v>
      </c>
      <c r="W472">
        <v>6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6</v>
      </c>
      <c r="AH472">
        <v>0</v>
      </c>
      <c r="AI472">
        <v>4</v>
      </c>
      <c r="AJ472">
        <v>1</v>
      </c>
      <c r="AK472">
        <v>64</v>
      </c>
      <c r="AL472">
        <v>7</v>
      </c>
      <c r="AM472">
        <v>7</v>
      </c>
      <c r="AN472">
        <v>0</v>
      </c>
      <c r="AO472" t="s">
        <v>2673</v>
      </c>
      <c r="AP472" t="s">
        <v>68</v>
      </c>
      <c r="AQ472">
        <v>0.91400000000000003</v>
      </c>
      <c r="AR472" t="s">
        <v>69</v>
      </c>
      <c r="AS472">
        <v>71</v>
      </c>
      <c r="AT472">
        <v>7</v>
      </c>
      <c r="AU472">
        <v>3.0669999999999999E-2</v>
      </c>
      <c r="AV472">
        <v>-6.6400000000000001E-3</v>
      </c>
      <c r="AW472">
        <v>0.14466000000000001</v>
      </c>
      <c r="AX472">
        <v>-3.3799999999999997E-2</v>
      </c>
      <c r="AY472">
        <v>3.5500000000000002E-3</v>
      </c>
      <c r="AZ472">
        <v>-8.4999999999999995E-4</v>
      </c>
      <c r="BA472">
        <v>2.453E-2</v>
      </c>
      <c r="BB472">
        <v>1</v>
      </c>
      <c r="BC472" t="s">
        <v>70</v>
      </c>
      <c r="BD472">
        <v>-0.39600000000000002</v>
      </c>
      <c r="BE472">
        <v>-0.52500000000000002</v>
      </c>
      <c r="BF472" t="s">
        <v>71</v>
      </c>
      <c r="BG472">
        <v>9.6885813148788899E-2</v>
      </c>
      <c r="BI472">
        <v>78</v>
      </c>
      <c r="BJ472">
        <v>2.453E-2</v>
      </c>
      <c r="BK472">
        <v>9.6885813148788899E-2</v>
      </c>
    </row>
    <row r="473" spans="1:63">
      <c r="A473">
        <v>2784</v>
      </c>
      <c r="B473" t="s">
        <v>2674</v>
      </c>
      <c r="D473" t="s">
        <v>66</v>
      </c>
      <c r="E473">
        <v>2794150</v>
      </c>
      <c r="F473">
        <v>2795076</v>
      </c>
      <c r="G473" t="s">
        <v>2676</v>
      </c>
      <c r="H473">
        <v>309</v>
      </c>
      <c r="I473" t="s">
        <v>63</v>
      </c>
      <c r="J473">
        <v>5</v>
      </c>
      <c r="K473" t="str">
        <f>HYPERLINK("Gene2784-zp_tree_all.dnd", "Gene2784-tree")</f>
        <v>Gene2784-tree</v>
      </c>
      <c r="L473">
        <v>1</v>
      </c>
      <c r="M473">
        <v>4</v>
      </c>
      <c r="N473">
        <v>1</v>
      </c>
      <c r="O473">
        <v>4</v>
      </c>
      <c r="P473">
        <v>0.8</v>
      </c>
      <c r="Q473" t="s">
        <v>65</v>
      </c>
      <c r="R473" t="s">
        <v>64</v>
      </c>
      <c r="S473" t="s">
        <v>66</v>
      </c>
      <c r="T473" t="s">
        <v>66</v>
      </c>
      <c r="U473">
        <v>0</v>
      </c>
      <c r="V473">
        <v>0</v>
      </c>
      <c r="W473">
        <v>8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8</v>
      </c>
      <c r="AH473">
        <v>0</v>
      </c>
      <c r="AI473">
        <v>5</v>
      </c>
      <c r="AJ473">
        <v>2</v>
      </c>
      <c r="AK473">
        <v>22</v>
      </c>
      <c r="AL473">
        <v>5</v>
      </c>
      <c r="AM473">
        <v>37</v>
      </c>
      <c r="AN473">
        <v>3</v>
      </c>
      <c r="AO473" t="s">
        <v>2677</v>
      </c>
      <c r="AP473" t="s">
        <v>2678</v>
      </c>
      <c r="AQ473">
        <v>1.27</v>
      </c>
      <c r="AR473" t="s">
        <v>69</v>
      </c>
      <c r="AS473">
        <v>59</v>
      </c>
      <c r="AT473">
        <v>8</v>
      </c>
      <c r="AU473">
        <v>3.7109999999999997E-2</v>
      </c>
      <c r="AV473">
        <v>-6.13E-3</v>
      </c>
      <c r="AW473">
        <v>0.17630999999999999</v>
      </c>
      <c r="AX473">
        <v>-3.1460000000000002E-2</v>
      </c>
      <c r="AY473">
        <v>5.2599999999999999E-3</v>
      </c>
      <c r="AZ473">
        <v>-7.2999999999999996E-4</v>
      </c>
      <c r="BA473">
        <v>2.9839999999999998E-2</v>
      </c>
      <c r="BB473">
        <v>1</v>
      </c>
      <c r="BC473" t="s">
        <v>70</v>
      </c>
      <c r="BD473">
        <v>0.65</v>
      </c>
      <c r="BE473">
        <v>0.55500000000000005</v>
      </c>
      <c r="BF473" t="s">
        <v>71</v>
      </c>
      <c r="BG473">
        <v>0.166253101736972</v>
      </c>
      <c r="BI473">
        <v>67</v>
      </c>
      <c r="BJ473">
        <v>2.9839999999999998E-2</v>
      </c>
      <c r="BK473">
        <v>0.166253101736972</v>
      </c>
    </row>
    <row r="474" spans="1:63">
      <c r="A474">
        <v>2785</v>
      </c>
      <c r="B474" t="s">
        <v>2679</v>
      </c>
      <c r="D474" t="s">
        <v>66</v>
      </c>
      <c r="E474">
        <v>2795085</v>
      </c>
      <c r="F474">
        <v>2795735</v>
      </c>
      <c r="G474" t="s">
        <v>2681</v>
      </c>
      <c r="H474">
        <v>217</v>
      </c>
      <c r="I474" t="s">
        <v>63</v>
      </c>
      <c r="J474">
        <v>5</v>
      </c>
      <c r="K474" t="str">
        <f>HYPERLINK("Gene2785-zp_tree_all.dnd", "Gene2785-tree")</f>
        <v>Gene2785-tree</v>
      </c>
      <c r="L474">
        <v>2</v>
      </c>
      <c r="M474">
        <v>3</v>
      </c>
      <c r="N474">
        <v>2</v>
      </c>
      <c r="O474">
        <v>3</v>
      </c>
      <c r="P474">
        <v>0.6</v>
      </c>
      <c r="Q474" t="s">
        <v>124</v>
      </c>
      <c r="R474" t="s">
        <v>86</v>
      </c>
      <c r="S474" t="s">
        <v>66</v>
      </c>
      <c r="T474" t="s">
        <v>66</v>
      </c>
      <c r="U474">
        <v>0</v>
      </c>
      <c r="V474">
        <v>0</v>
      </c>
      <c r="W474">
        <v>8</v>
      </c>
      <c r="X474">
        <v>0</v>
      </c>
      <c r="Y474">
        <v>0</v>
      </c>
      <c r="Z474">
        <v>0</v>
      </c>
      <c r="AA474">
        <v>0</v>
      </c>
      <c r="AB474">
        <v>2</v>
      </c>
      <c r="AC474">
        <v>0</v>
      </c>
      <c r="AD474">
        <v>0</v>
      </c>
      <c r="AE474">
        <v>0</v>
      </c>
      <c r="AF474">
        <v>0</v>
      </c>
      <c r="AG474">
        <v>6</v>
      </c>
      <c r="AH474">
        <v>0</v>
      </c>
      <c r="AI474">
        <v>5</v>
      </c>
      <c r="AJ474">
        <v>2</v>
      </c>
      <c r="AK474">
        <v>19</v>
      </c>
      <c r="AL474">
        <v>6</v>
      </c>
      <c r="AM474">
        <v>9</v>
      </c>
      <c r="AN474">
        <v>2</v>
      </c>
      <c r="AO474" t="s">
        <v>2682</v>
      </c>
      <c r="AP474" t="s">
        <v>2683</v>
      </c>
      <c r="AQ474">
        <v>0.51</v>
      </c>
      <c r="AR474" t="s">
        <v>69</v>
      </c>
      <c r="AS474">
        <v>28</v>
      </c>
      <c r="AT474">
        <v>8</v>
      </c>
      <c r="AU474">
        <v>2.3349999999999999E-2</v>
      </c>
      <c r="AV474">
        <v>-2.0600000000000002E-3</v>
      </c>
      <c r="AW474">
        <v>8.3570000000000005E-2</v>
      </c>
      <c r="AX474">
        <v>-7.6699999999999997E-3</v>
      </c>
      <c r="AY474">
        <v>7.1900000000000002E-3</v>
      </c>
      <c r="AZ474">
        <v>-9.5E-4</v>
      </c>
      <c r="BA474">
        <v>8.6010000000000003E-2</v>
      </c>
      <c r="BB474">
        <v>1</v>
      </c>
      <c r="BC474" t="s">
        <v>70</v>
      </c>
      <c r="BD474">
        <v>-7.8E-2</v>
      </c>
      <c r="BE474">
        <v>-0.27300000000000002</v>
      </c>
      <c r="BF474" t="s">
        <v>71</v>
      </c>
      <c r="BG474">
        <v>0.15217391304347799</v>
      </c>
      <c r="BI474">
        <v>36</v>
      </c>
      <c r="BJ474">
        <v>8.6010000000000003E-2</v>
      </c>
      <c r="BK474">
        <v>0.15217391304347799</v>
      </c>
    </row>
    <row r="475" spans="1:63">
      <c r="A475">
        <v>2787</v>
      </c>
      <c r="B475" t="s">
        <v>2684</v>
      </c>
      <c r="D475" t="s">
        <v>66</v>
      </c>
      <c r="E475">
        <v>2797103</v>
      </c>
      <c r="F475">
        <v>2797381</v>
      </c>
      <c r="G475" t="s">
        <v>74</v>
      </c>
      <c r="H475">
        <v>93</v>
      </c>
      <c r="I475" t="s">
        <v>63</v>
      </c>
      <c r="J475">
        <v>5</v>
      </c>
      <c r="K475" t="str">
        <f>HYPERLINK("Gene2787-zp_tree_all.dnd", "Gene2787-tree")</f>
        <v>Gene2787-tree</v>
      </c>
      <c r="L475">
        <v>3</v>
      </c>
      <c r="M475">
        <v>2</v>
      </c>
      <c r="N475">
        <v>3</v>
      </c>
      <c r="O475">
        <v>2</v>
      </c>
      <c r="P475">
        <v>0.4</v>
      </c>
      <c r="Q475" t="s">
        <v>86</v>
      </c>
      <c r="R475" t="s">
        <v>124</v>
      </c>
      <c r="S475" t="s">
        <v>66</v>
      </c>
      <c r="T475" t="s">
        <v>66</v>
      </c>
      <c r="U475">
        <v>1</v>
      </c>
      <c r="V475">
        <v>2</v>
      </c>
      <c r="W475">
        <v>2</v>
      </c>
      <c r="X475">
        <v>0.5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2</v>
      </c>
      <c r="AF475">
        <v>2</v>
      </c>
      <c r="AG475">
        <v>2</v>
      </c>
      <c r="AH475">
        <v>0.5</v>
      </c>
      <c r="AI475">
        <v>5</v>
      </c>
      <c r="AJ475">
        <v>2</v>
      </c>
      <c r="AK475">
        <v>10</v>
      </c>
      <c r="AL475">
        <v>3</v>
      </c>
      <c r="AM475">
        <v>4</v>
      </c>
      <c r="AN475">
        <v>1</v>
      </c>
      <c r="AO475" t="s">
        <v>2686</v>
      </c>
      <c r="AP475" t="s">
        <v>2687</v>
      </c>
      <c r="AQ475">
        <v>0.153</v>
      </c>
      <c r="AR475" t="s">
        <v>69</v>
      </c>
      <c r="AS475">
        <v>14</v>
      </c>
      <c r="AT475">
        <v>4</v>
      </c>
      <c r="AU475">
        <v>2.7539999999999999E-2</v>
      </c>
      <c r="AV475">
        <v>-2.82E-3</v>
      </c>
      <c r="AW475">
        <v>0.12393999999999999</v>
      </c>
      <c r="AX475">
        <v>-1.124E-2</v>
      </c>
      <c r="AY475">
        <v>6.79E-3</v>
      </c>
      <c r="AZ475">
        <v>-1.47E-3</v>
      </c>
      <c r="BA475">
        <v>5.4809999999999998E-2</v>
      </c>
      <c r="BB475">
        <v>1</v>
      </c>
      <c r="BC475" t="s">
        <v>70</v>
      </c>
      <c r="BD475">
        <v>-7.5999999999999998E-2</v>
      </c>
      <c r="BE475">
        <v>-1.0309999999999999</v>
      </c>
      <c r="BF475" t="s">
        <v>71</v>
      </c>
      <c r="BG475">
        <v>0.155963302752293</v>
      </c>
      <c r="BI475">
        <v>18</v>
      </c>
      <c r="BJ475">
        <v>5.4809999999999998E-2</v>
      </c>
      <c r="BK475">
        <v>0.155963302752293</v>
      </c>
    </row>
    <row r="476" spans="1:63">
      <c r="A476">
        <v>2788</v>
      </c>
      <c r="B476" t="s">
        <v>2688</v>
      </c>
      <c r="D476" t="s">
        <v>66</v>
      </c>
      <c r="E476">
        <v>2797402</v>
      </c>
      <c r="F476">
        <v>2797815</v>
      </c>
      <c r="G476" t="s">
        <v>2690</v>
      </c>
      <c r="H476">
        <v>138</v>
      </c>
      <c r="I476" t="s">
        <v>63</v>
      </c>
      <c r="J476">
        <v>5</v>
      </c>
      <c r="K476" t="str">
        <f>HYPERLINK("Gene2788-zp_tree_all.dnd", "Gene2788-tree")</f>
        <v>Gene2788-tree</v>
      </c>
      <c r="L476">
        <v>5</v>
      </c>
      <c r="M476">
        <v>0</v>
      </c>
      <c r="N476">
        <v>4</v>
      </c>
      <c r="O476">
        <v>0</v>
      </c>
      <c r="P476">
        <v>0</v>
      </c>
      <c r="Q476" t="s">
        <v>135</v>
      </c>
      <c r="R476" t="s">
        <v>66</v>
      </c>
      <c r="S476" t="s">
        <v>66</v>
      </c>
      <c r="T476" t="s">
        <v>66</v>
      </c>
      <c r="U476">
        <v>0</v>
      </c>
      <c r="V476">
        <v>0</v>
      </c>
      <c r="W476">
        <v>1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3</v>
      </c>
      <c r="AJ476">
        <v>1</v>
      </c>
      <c r="AK476">
        <v>6</v>
      </c>
      <c r="AL476">
        <v>0</v>
      </c>
      <c r="AM476">
        <v>5</v>
      </c>
      <c r="AN476">
        <v>1</v>
      </c>
      <c r="AO476" t="s">
        <v>68</v>
      </c>
      <c r="AP476" t="s">
        <v>2691</v>
      </c>
      <c r="AQ476">
        <v>0</v>
      </c>
      <c r="AR476" t="s">
        <v>69</v>
      </c>
      <c r="AS476">
        <v>11</v>
      </c>
      <c r="AT476">
        <v>1</v>
      </c>
      <c r="AU476">
        <v>1.6910000000000001E-2</v>
      </c>
      <c r="AV476">
        <v>-3.0699999999999998E-3</v>
      </c>
      <c r="AW476">
        <v>7.0709999999999995E-2</v>
      </c>
      <c r="AX476">
        <v>-1.2460000000000001E-2</v>
      </c>
      <c r="AY476">
        <v>2.0899999999999998E-3</v>
      </c>
      <c r="AZ476">
        <v>-4.8999999999999998E-4</v>
      </c>
      <c r="BA476">
        <v>2.9590000000000002E-2</v>
      </c>
      <c r="BB476">
        <v>1</v>
      </c>
      <c r="BC476" t="s">
        <v>70</v>
      </c>
      <c r="BD476">
        <v>0.30099999999999999</v>
      </c>
      <c r="BE476">
        <v>0.30099999999999999</v>
      </c>
      <c r="BF476" t="s">
        <v>71</v>
      </c>
      <c r="BG476">
        <v>0.14606741573033699</v>
      </c>
      <c r="BI476">
        <v>12</v>
      </c>
      <c r="BJ476">
        <v>2.9590000000000002E-2</v>
      </c>
      <c r="BK476">
        <v>0.14606741573033699</v>
      </c>
    </row>
    <row r="477" spans="1:63">
      <c r="A477">
        <v>2798</v>
      </c>
      <c r="B477" t="s">
        <v>2698</v>
      </c>
      <c r="D477" t="s">
        <v>66</v>
      </c>
      <c r="E477">
        <v>2805707</v>
      </c>
      <c r="F477">
        <v>2806228</v>
      </c>
      <c r="G477" t="s">
        <v>74</v>
      </c>
      <c r="H477">
        <v>174</v>
      </c>
      <c r="I477" t="s">
        <v>63</v>
      </c>
      <c r="J477">
        <v>5</v>
      </c>
      <c r="K477" t="str">
        <f>HYPERLINK("Gene2798-zp_tree_all.dnd", "Gene2798-tree")</f>
        <v>Gene2798-tree</v>
      </c>
      <c r="L477">
        <v>2</v>
      </c>
      <c r="M477">
        <v>3</v>
      </c>
      <c r="N477">
        <v>2</v>
      </c>
      <c r="O477">
        <v>3</v>
      </c>
      <c r="P477">
        <v>0.6</v>
      </c>
      <c r="Q477" t="s">
        <v>124</v>
      </c>
      <c r="R477" t="s">
        <v>86</v>
      </c>
      <c r="S477" t="s">
        <v>66</v>
      </c>
      <c r="T477" t="s">
        <v>66</v>
      </c>
      <c r="U477">
        <v>1</v>
      </c>
      <c r="V477">
        <v>2</v>
      </c>
      <c r="W477">
        <v>9</v>
      </c>
      <c r="X477">
        <v>0.18182000000000001</v>
      </c>
      <c r="Y477">
        <v>0</v>
      </c>
      <c r="Z477">
        <v>0</v>
      </c>
      <c r="AA477">
        <v>0</v>
      </c>
      <c r="AB477">
        <v>2</v>
      </c>
      <c r="AC477">
        <v>0</v>
      </c>
      <c r="AD477">
        <v>0</v>
      </c>
      <c r="AE477">
        <v>0</v>
      </c>
      <c r="AF477">
        <v>0</v>
      </c>
      <c r="AG477">
        <v>9</v>
      </c>
      <c r="AH477">
        <v>0</v>
      </c>
      <c r="AI477">
        <v>5</v>
      </c>
      <c r="AJ477">
        <v>2</v>
      </c>
      <c r="AK477">
        <v>12</v>
      </c>
      <c r="AL477">
        <v>5</v>
      </c>
      <c r="AM477">
        <v>14</v>
      </c>
      <c r="AN477">
        <v>6</v>
      </c>
      <c r="AO477" t="s">
        <v>2700</v>
      </c>
      <c r="AP477" t="s">
        <v>2701</v>
      </c>
      <c r="AQ477">
        <v>1.2E-2</v>
      </c>
      <c r="AR477" t="s">
        <v>69</v>
      </c>
      <c r="AS477">
        <v>26</v>
      </c>
      <c r="AT477">
        <v>11</v>
      </c>
      <c r="AU477">
        <v>3.4099999999999998E-2</v>
      </c>
      <c r="AV477">
        <v>-4.5700000000000003E-3</v>
      </c>
      <c r="AW477">
        <v>0.11466</v>
      </c>
      <c r="AX477">
        <v>-1.686E-2</v>
      </c>
      <c r="AY477">
        <v>1.353E-2</v>
      </c>
      <c r="AZ477">
        <v>-2.0799999999999998E-3</v>
      </c>
      <c r="BA477">
        <v>0.11801</v>
      </c>
      <c r="BB477">
        <v>1</v>
      </c>
      <c r="BC477" t="s">
        <v>70</v>
      </c>
      <c r="BD477">
        <v>0.68</v>
      </c>
      <c r="BE477">
        <v>0.312</v>
      </c>
      <c r="BF477" t="s">
        <v>71</v>
      </c>
      <c r="BG477">
        <v>0.124463519313304</v>
      </c>
      <c r="BI477">
        <v>37</v>
      </c>
      <c r="BJ477">
        <v>0.11801</v>
      </c>
      <c r="BK477">
        <v>0.124463519313304</v>
      </c>
    </row>
    <row r="478" spans="1:63">
      <c r="A478">
        <v>2801</v>
      </c>
      <c r="B478" t="s">
        <v>4160</v>
      </c>
      <c r="D478" t="s">
        <v>66</v>
      </c>
      <c r="E478">
        <v>2809416</v>
      </c>
      <c r="F478">
        <v>2810528</v>
      </c>
      <c r="G478" t="s">
        <v>4162</v>
      </c>
      <c r="H478">
        <v>371</v>
      </c>
      <c r="I478" t="s">
        <v>63</v>
      </c>
      <c r="J478">
        <v>5</v>
      </c>
      <c r="K478" t="str">
        <f>HYPERLINK("Gene2801-zp_tree_all.dnd", "Gene2801-tree")</f>
        <v>Gene2801-tree</v>
      </c>
      <c r="L478">
        <v>1</v>
      </c>
      <c r="M478">
        <v>4</v>
      </c>
      <c r="N478">
        <v>1</v>
      </c>
      <c r="O478">
        <v>4</v>
      </c>
      <c r="P478">
        <v>0.8</v>
      </c>
      <c r="Q478" t="s">
        <v>65</v>
      </c>
      <c r="R478" t="s">
        <v>64</v>
      </c>
      <c r="S478" t="s">
        <v>66</v>
      </c>
      <c r="T478" t="s">
        <v>66</v>
      </c>
      <c r="U478">
        <v>0</v>
      </c>
      <c r="V478">
        <v>0</v>
      </c>
      <c r="W478">
        <v>8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8</v>
      </c>
      <c r="AH478">
        <v>0</v>
      </c>
      <c r="AI478">
        <v>5</v>
      </c>
      <c r="AJ478">
        <v>2</v>
      </c>
      <c r="AK478">
        <v>37</v>
      </c>
      <c r="AL478">
        <v>6</v>
      </c>
      <c r="AM478">
        <v>34</v>
      </c>
      <c r="AN478">
        <v>3</v>
      </c>
      <c r="AO478" t="s">
        <v>4163</v>
      </c>
      <c r="AP478" t="s">
        <v>4164</v>
      </c>
      <c r="AQ478">
        <v>0.77</v>
      </c>
      <c r="AR478" t="s">
        <v>69</v>
      </c>
      <c r="AS478">
        <v>71</v>
      </c>
      <c r="AT478">
        <v>9</v>
      </c>
      <c r="AU478">
        <v>3.3599999999999998E-2</v>
      </c>
      <c r="AV478">
        <v>-4.9399999999999999E-3</v>
      </c>
      <c r="AW478">
        <v>0.14968999999999999</v>
      </c>
      <c r="AX478">
        <v>-2.401E-2</v>
      </c>
      <c r="AY478">
        <v>5.11E-3</v>
      </c>
      <c r="AZ478">
        <v>-6.2E-4</v>
      </c>
      <c r="BA478">
        <v>3.4160000000000003E-2</v>
      </c>
      <c r="BB478">
        <v>1</v>
      </c>
      <c r="BC478" t="s">
        <v>70</v>
      </c>
      <c r="BD478">
        <v>0.40100000000000002</v>
      </c>
      <c r="BE478">
        <v>0.316</v>
      </c>
      <c r="BF478" t="s">
        <v>71</v>
      </c>
      <c r="BG478">
        <v>0.107344632768361</v>
      </c>
      <c r="BI478">
        <v>80</v>
      </c>
      <c r="BJ478">
        <v>3.4160000000000003E-2</v>
      </c>
      <c r="BK478">
        <v>0.107344632768361</v>
      </c>
    </row>
    <row r="479" spans="1:63">
      <c r="A479">
        <v>2803</v>
      </c>
      <c r="B479" t="s">
        <v>2702</v>
      </c>
      <c r="D479" t="s">
        <v>66</v>
      </c>
      <c r="E479">
        <v>2811720</v>
      </c>
      <c r="F479">
        <v>2812133</v>
      </c>
      <c r="G479" t="s">
        <v>2704</v>
      </c>
      <c r="H479">
        <v>138</v>
      </c>
      <c r="I479" t="s">
        <v>63</v>
      </c>
      <c r="J479">
        <v>5</v>
      </c>
      <c r="K479" t="str">
        <f>HYPERLINK("Gene2803-zp_tree_all.dnd", "Gene2803-tree")</f>
        <v>Gene2803-tree</v>
      </c>
      <c r="L479">
        <v>5</v>
      </c>
      <c r="M479">
        <v>0</v>
      </c>
      <c r="N479">
        <v>5</v>
      </c>
      <c r="O479">
        <v>0</v>
      </c>
      <c r="P479">
        <v>0</v>
      </c>
      <c r="Q479" t="s">
        <v>96</v>
      </c>
      <c r="R479" t="s">
        <v>66</v>
      </c>
      <c r="S479" t="s">
        <v>66</v>
      </c>
      <c r="T479" t="s">
        <v>66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4</v>
      </c>
      <c r="AJ479">
        <v>1</v>
      </c>
      <c r="AK479">
        <v>8</v>
      </c>
      <c r="AL479">
        <v>0</v>
      </c>
      <c r="AM479">
        <v>13</v>
      </c>
      <c r="AN479">
        <v>0</v>
      </c>
      <c r="AO479" t="s">
        <v>68</v>
      </c>
      <c r="AP479" t="s">
        <v>68</v>
      </c>
      <c r="AQ479">
        <v>0</v>
      </c>
      <c r="AR479" t="s">
        <v>69</v>
      </c>
      <c r="AS479">
        <v>21</v>
      </c>
      <c r="AT479">
        <v>0</v>
      </c>
      <c r="AU479">
        <v>2.5360000000000001E-2</v>
      </c>
      <c r="AV479">
        <v>-4.9500000000000004E-3</v>
      </c>
      <c r="AW479">
        <v>0.11951000000000001</v>
      </c>
      <c r="AX479">
        <v>-2.4039999999999999E-2</v>
      </c>
      <c r="AY479">
        <v>0</v>
      </c>
      <c r="AZ479">
        <v>0</v>
      </c>
      <c r="BA479">
        <v>0</v>
      </c>
      <c r="BB479">
        <v>1</v>
      </c>
      <c r="BC479" t="s">
        <v>70</v>
      </c>
      <c r="BD479">
        <v>1.117</v>
      </c>
      <c r="BE479">
        <v>0.38800000000000001</v>
      </c>
      <c r="BF479" t="s">
        <v>71</v>
      </c>
      <c r="BG479">
        <v>0.183673469387755</v>
      </c>
      <c r="BI479">
        <v>21</v>
      </c>
      <c r="BJ479">
        <v>0</v>
      </c>
      <c r="BK479">
        <v>0.183673469387755</v>
      </c>
    </row>
    <row r="480" spans="1:63">
      <c r="A480">
        <v>2807</v>
      </c>
      <c r="B480" t="s">
        <v>2705</v>
      </c>
      <c r="D480" t="s">
        <v>66</v>
      </c>
      <c r="E480">
        <v>2816538</v>
      </c>
      <c r="F480">
        <v>2817809</v>
      </c>
      <c r="G480" t="s">
        <v>2707</v>
      </c>
      <c r="H480">
        <v>424</v>
      </c>
      <c r="I480" t="s">
        <v>85</v>
      </c>
      <c r="J480">
        <v>4</v>
      </c>
      <c r="K480" t="str">
        <f>HYPERLINK("Gene2807-zp_tree_all.dnd", "Gene2807-tree")</f>
        <v>Gene2807-tree</v>
      </c>
      <c r="L480">
        <v>0</v>
      </c>
      <c r="M480">
        <v>4</v>
      </c>
      <c r="N480">
        <v>0</v>
      </c>
      <c r="O480">
        <v>4</v>
      </c>
      <c r="P480">
        <v>1</v>
      </c>
      <c r="Q480" t="s">
        <v>66</v>
      </c>
      <c r="R480" t="s">
        <v>64</v>
      </c>
      <c r="S480" t="s">
        <v>66</v>
      </c>
      <c r="T480" t="s">
        <v>66</v>
      </c>
      <c r="U480">
        <v>1</v>
      </c>
      <c r="V480">
        <v>2</v>
      </c>
      <c r="W480">
        <v>13</v>
      </c>
      <c r="X480">
        <v>0.13333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2</v>
      </c>
      <c r="AE480">
        <v>0</v>
      </c>
      <c r="AF480">
        <v>2</v>
      </c>
      <c r="AG480">
        <v>13</v>
      </c>
      <c r="AH480">
        <v>0.13333</v>
      </c>
      <c r="AI480">
        <v>4</v>
      </c>
      <c r="AJ480">
        <v>1</v>
      </c>
      <c r="AK480">
        <v>61</v>
      </c>
      <c r="AL480">
        <v>13</v>
      </c>
      <c r="AM480">
        <v>8</v>
      </c>
      <c r="AN480">
        <v>2</v>
      </c>
      <c r="AO480" t="s">
        <v>2708</v>
      </c>
      <c r="AP480" t="s">
        <v>2709</v>
      </c>
      <c r="AQ480">
        <v>0.29299999999999998</v>
      </c>
      <c r="AR480" t="s">
        <v>69</v>
      </c>
      <c r="AS480">
        <v>69</v>
      </c>
      <c r="AT480">
        <v>15</v>
      </c>
      <c r="AU480">
        <v>3.3410000000000002E-2</v>
      </c>
      <c r="AV480">
        <v>-6.8900000000000003E-3</v>
      </c>
      <c r="AW480">
        <v>0.13622999999999999</v>
      </c>
      <c r="AX480">
        <v>-3.1780000000000003E-2</v>
      </c>
      <c r="AY480">
        <v>7.6699999999999997E-3</v>
      </c>
      <c r="AZ480">
        <v>-1.0499999999999999E-3</v>
      </c>
      <c r="BA480">
        <v>5.6309999999999999E-2</v>
      </c>
      <c r="BB480">
        <v>1</v>
      </c>
      <c r="BC480" t="s">
        <v>70</v>
      </c>
      <c r="BD480">
        <v>-0.14299999999999999</v>
      </c>
      <c r="BE480">
        <v>-0.628</v>
      </c>
      <c r="BF480" t="s">
        <v>71</v>
      </c>
      <c r="BG480">
        <v>0.102608695652173</v>
      </c>
      <c r="BI480">
        <v>84</v>
      </c>
      <c r="BJ480">
        <v>5.6309999999999999E-2</v>
      </c>
      <c r="BK480">
        <v>0.102608695652173</v>
      </c>
    </row>
    <row r="481" spans="1:63">
      <c r="A481">
        <v>2808</v>
      </c>
      <c r="B481" t="s">
        <v>2710</v>
      </c>
      <c r="D481" t="s">
        <v>66</v>
      </c>
      <c r="E481">
        <v>2818194</v>
      </c>
      <c r="F481">
        <v>2818361</v>
      </c>
      <c r="G481" t="s">
        <v>74</v>
      </c>
      <c r="H481">
        <v>56</v>
      </c>
      <c r="I481" t="s">
        <v>63</v>
      </c>
      <c r="J481">
        <v>5</v>
      </c>
      <c r="K481" t="str">
        <f>HYPERLINK("Gene2808-zp_tree_all.dnd", "Gene2808-tree")</f>
        <v>Gene2808-tree</v>
      </c>
      <c r="L481">
        <v>2</v>
      </c>
      <c r="M481">
        <v>3</v>
      </c>
      <c r="N481">
        <v>2</v>
      </c>
      <c r="O481">
        <v>2</v>
      </c>
      <c r="P481">
        <v>0.5</v>
      </c>
      <c r="Q481" t="s">
        <v>124</v>
      </c>
      <c r="R481" t="s">
        <v>185</v>
      </c>
      <c r="S481">
        <v>0.30599999999999999</v>
      </c>
      <c r="T481" t="s">
        <v>69</v>
      </c>
      <c r="U481">
        <v>0</v>
      </c>
      <c r="V481">
        <v>0</v>
      </c>
      <c r="W481">
        <v>3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3</v>
      </c>
      <c r="AH481">
        <v>0</v>
      </c>
      <c r="AI481">
        <v>2</v>
      </c>
      <c r="AJ481">
        <v>1</v>
      </c>
      <c r="AK481">
        <v>5</v>
      </c>
      <c r="AL481">
        <v>1</v>
      </c>
      <c r="AM481">
        <v>3</v>
      </c>
      <c r="AN481">
        <v>2</v>
      </c>
      <c r="AO481" t="s">
        <v>2712</v>
      </c>
      <c r="AP481" t="s">
        <v>2713</v>
      </c>
      <c r="AQ481">
        <v>2.4350000000000001</v>
      </c>
      <c r="AR481" t="s">
        <v>69</v>
      </c>
      <c r="AS481">
        <v>8</v>
      </c>
      <c r="AT481">
        <v>3</v>
      </c>
      <c r="AU481">
        <v>3.7699999999999997E-2</v>
      </c>
      <c r="AV481">
        <v>-8.1399999999999997E-3</v>
      </c>
      <c r="AW481">
        <v>0.13841000000000001</v>
      </c>
      <c r="AX481">
        <v>-3.2030000000000003E-2</v>
      </c>
      <c r="AY481">
        <v>1.413E-2</v>
      </c>
      <c r="AZ481">
        <v>-3.3700000000000002E-3</v>
      </c>
      <c r="BA481">
        <v>0.10206999999999999</v>
      </c>
      <c r="BB481">
        <v>1</v>
      </c>
      <c r="BC481" t="s">
        <v>70</v>
      </c>
      <c r="BD481">
        <v>0.16400000000000001</v>
      </c>
      <c r="BE481">
        <v>0.16400000000000001</v>
      </c>
      <c r="BF481" t="s">
        <v>71</v>
      </c>
      <c r="BG481">
        <v>0.04</v>
      </c>
      <c r="BI481">
        <v>11</v>
      </c>
      <c r="BJ481">
        <v>0.10206999999999999</v>
      </c>
      <c r="BK481">
        <v>0.04</v>
      </c>
    </row>
    <row r="482" spans="1:63">
      <c r="A482">
        <v>2810</v>
      </c>
      <c r="B482" t="s">
        <v>2714</v>
      </c>
      <c r="D482" t="s">
        <v>66</v>
      </c>
      <c r="E482">
        <v>2820080</v>
      </c>
      <c r="F482">
        <v>2820475</v>
      </c>
      <c r="G482" t="s">
        <v>2716</v>
      </c>
      <c r="H482">
        <v>132</v>
      </c>
      <c r="I482" t="s">
        <v>63</v>
      </c>
      <c r="J482">
        <v>5</v>
      </c>
      <c r="K482" t="str">
        <f>HYPERLINK("Gene2810-zp_tree_all.dnd", "Gene2810-tree")</f>
        <v>Gene2810-tree</v>
      </c>
      <c r="L482">
        <v>3</v>
      </c>
      <c r="M482">
        <v>2</v>
      </c>
      <c r="N482">
        <v>3</v>
      </c>
      <c r="O482">
        <v>2</v>
      </c>
      <c r="P482">
        <v>0.4</v>
      </c>
      <c r="Q482" t="s">
        <v>86</v>
      </c>
      <c r="R482" t="s">
        <v>124</v>
      </c>
      <c r="S482" t="s">
        <v>66</v>
      </c>
      <c r="T482" t="s">
        <v>66</v>
      </c>
      <c r="U482">
        <v>0</v>
      </c>
      <c r="V482">
        <v>0</v>
      </c>
      <c r="W482">
        <v>9</v>
      </c>
      <c r="X482">
        <v>0</v>
      </c>
      <c r="Y482">
        <v>0</v>
      </c>
      <c r="Z482">
        <v>0</v>
      </c>
      <c r="AA482">
        <v>0</v>
      </c>
      <c r="AB482">
        <v>4</v>
      </c>
      <c r="AC482">
        <v>0</v>
      </c>
      <c r="AD482">
        <v>0</v>
      </c>
      <c r="AE482">
        <v>0</v>
      </c>
      <c r="AF482">
        <v>0</v>
      </c>
      <c r="AG482">
        <v>5</v>
      </c>
      <c r="AH482">
        <v>0</v>
      </c>
      <c r="AI482">
        <v>5</v>
      </c>
      <c r="AJ482">
        <v>2</v>
      </c>
      <c r="AK482">
        <v>12</v>
      </c>
      <c r="AL482">
        <v>5</v>
      </c>
      <c r="AM482">
        <v>8</v>
      </c>
      <c r="AN482">
        <v>4</v>
      </c>
      <c r="AO482" t="s">
        <v>2717</v>
      </c>
      <c r="AP482" t="s">
        <v>2718</v>
      </c>
      <c r="AQ482">
        <v>9.7000000000000003E-2</v>
      </c>
      <c r="AR482" t="s">
        <v>69</v>
      </c>
      <c r="AS482">
        <v>20</v>
      </c>
      <c r="AT482">
        <v>9</v>
      </c>
      <c r="AU482">
        <v>3.4599999999999999E-2</v>
      </c>
      <c r="AV482">
        <v>-4.5900000000000003E-3</v>
      </c>
      <c r="AW482">
        <v>0.11118</v>
      </c>
      <c r="AX482">
        <v>-1.5709999999999998E-2</v>
      </c>
      <c r="AY482">
        <v>1.4630000000000001E-2</v>
      </c>
      <c r="AZ482">
        <v>-2.7299999999999998E-3</v>
      </c>
      <c r="BA482">
        <v>0.13159000000000001</v>
      </c>
      <c r="BB482">
        <v>1</v>
      </c>
      <c r="BC482" t="s">
        <v>70</v>
      </c>
      <c r="BD482">
        <v>0.14399999999999999</v>
      </c>
      <c r="BE482">
        <v>-0.13300000000000001</v>
      </c>
      <c r="BF482" t="s">
        <v>71</v>
      </c>
      <c r="BG482">
        <v>0.16384180790960401</v>
      </c>
      <c r="BI482">
        <v>29</v>
      </c>
      <c r="BJ482">
        <v>0.13159000000000001</v>
      </c>
      <c r="BK482">
        <v>0.16384180790960401</v>
      </c>
    </row>
    <row r="483" spans="1:63">
      <c r="A483">
        <v>2811</v>
      </c>
      <c r="B483" t="s">
        <v>2719</v>
      </c>
      <c r="D483" t="s">
        <v>66</v>
      </c>
      <c r="E483">
        <v>2820532</v>
      </c>
      <c r="F483">
        <v>2822733</v>
      </c>
      <c r="G483" t="s">
        <v>2721</v>
      </c>
      <c r="H483">
        <v>734</v>
      </c>
      <c r="I483" t="s">
        <v>63</v>
      </c>
      <c r="J483">
        <v>5</v>
      </c>
      <c r="K483" t="str">
        <f>HYPERLINK("Gene2811-zp_tree_all.dnd", "Gene2811-tree")</f>
        <v>Gene2811-tree</v>
      </c>
      <c r="L483">
        <v>4</v>
      </c>
      <c r="M483">
        <v>1</v>
      </c>
      <c r="N483">
        <v>4</v>
      </c>
      <c r="O483">
        <v>1</v>
      </c>
      <c r="P483">
        <v>0.2</v>
      </c>
      <c r="Q483" t="s">
        <v>64</v>
      </c>
      <c r="R483" t="s">
        <v>65</v>
      </c>
      <c r="S483" t="s">
        <v>66</v>
      </c>
      <c r="T483" t="s">
        <v>66</v>
      </c>
      <c r="U483">
        <v>0</v>
      </c>
      <c r="V483">
        <v>0</v>
      </c>
      <c r="W483">
        <v>4</v>
      </c>
      <c r="X483">
        <v>0</v>
      </c>
      <c r="Y483">
        <v>0</v>
      </c>
      <c r="Z483">
        <v>0</v>
      </c>
      <c r="AA483">
        <v>0</v>
      </c>
      <c r="AB483">
        <v>3</v>
      </c>
      <c r="AC483">
        <v>0</v>
      </c>
      <c r="AD483">
        <v>0</v>
      </c>
      <c r="AE483">
        <v>0</v>
      </c>
      <c r="AF483">
        <v>0</v>
      </c>
      <c r="AG483">
        <v>1</v>
      </c>
      <c r="AH483">
        <v>0</v>
      </c>
      <c r="AI483">
        <v>5</v>
      </c>
      <c r="AJ483">
        <v>2</v>
      </c>
      <c r="AK483">
        <v>78</v>
      </c>
      <c r="AL483">
        <v>1</v>
      </c>
      <c r="AM483">
        <v>69</v>
      </c>
      <c r="AN483">
        <v>3</v>
      </c>
      <c r="AO483" t="s">
        <v>2722</v>
      </c>
      <c r="AP483" t="s">
        <v>2723</v>
      </c>
      <c r="AQ483">
        <v>0.52600000000000002</v>
      </c>
      <c r="AR483" t="s">
        <v>69</v>
      </c>
      <c r="AS483">
        <v>147</v>
      </c>
      <c r="AT483">
        <v>4</v>
      </c>
      <c r="AU483">
        <v>3.2649999999999998E-2</v>
      </c>
      <c r="AV483">
        <v>-4.62E-3</v>
      </c>
      <c r="AW483">
        <v>0.16217999999999999</v>
      </c>
      <c r="AX483">
        <v>-2.4129999999999999E-2</v>
      </c>
      <c r="AY483">
        <v>1.4E-3</v>
      </c>
      <c r="AZ483">
        <v>-2.9999999999999997E-4</v>
      </c>
      <c r="BA483">
        <v>8.6400000000000001E-3</v>
      </c>
      <c r="BB483">
        <v>1</v>
      </c>
      <c r="BC483" t="s">
        <v>70</v>
      </c>
      <c r="BD483">
        <v>0.47499999999999998</v>
      </c>
      <c r="BE483">
        <v>0.26100000000000001</v>
      </c>
      <c r="BF483" t="s">
        <v>71</v>
      </c>
      <c r="BG483">
        <v>9.5189355168884299E-2</v>
      </c>
      <c r="BI483">
        <v>151</v>
      </c>
      <c r="BJ483">
        <v>8.6400000000000001E-3</v>
      </c>
      <c r="BK483">
        <v>9.5189355168884299E-2</v>
      </c>
    </row>
    <row r="484" spans="1:63">
      <c r="A484">
        <v>2812</v>
      </c>
      <c r="B484" t="s">
        <v>2724</v>
      </c>
      <c r="D484" t="s">
        <v>66</v>
      </c>
      <c r="E484">
        <v>2822904</v>
      </c>
      <c r="F484">
        <v>2823413</v>
      </c>
      <c r="G484" t="s">
        <v>2726</v>
      </c>
      <c r="H484">
        <v>170</v>
      </c>
      <c r="I484" t="s">
        <v>63</v>
      </c>
      <c r="J484">
        <v>5</v>
      </c>
      <c r="K484" t="str">
        <f>HYPERLINK("Gene2812-zp_tree_all.dnd", "Gene2812-tree")</f>
        <v>Gene2812-tree</v>
      </c>
      <c r="L484">
        <v>2</v>
      </c>
      <c r="M484">
        <v>3</v>
      </c>
      <c r="N484">
        <v>2</v>
      </c>
      <c r="O484">
        <v>3</v>
      </c>
      <c r="P484">
        <v>0.6</v>
      </c>
      <c r="Q484" t="s">
        <v>124</v>
      </c>
      <c r="R484" t="s">
        <v>86</v>
      </c>
      <c r="S484" t="s">
        <v>66</v>
      </c>
      <c r="T484" t="s">
        <v>66</v>
      </c>
      <c r="U484">
        <v>1</v>
      </c>
      <c r="V484">
        <v>2</v>
      </c>
      <c r="W484">
        <v>2</v>
      </c>
      <c r="X484">
        <v>0.5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2</v>
      </c>
      <c r="AF484">
        <v>2</v>
      </c>
      <c r="AG484">
        <v>2</v>
      </c>
      <c r="AH484">
        <v>0.5</v>
      </c>
      <c r="AI484">
        <v>4</v>
      </c>
      <c r="AJ484">
        <v>1</v>
      </c>
      <c r="AK484">
        <v>6</v>
      </c>
      <c r="AL484">
        <v>3</v>
      </c>
      <c r="AM484">
        <v>13</v>
      </c>
      <c r="AN484">
        <v>1</v>
      </c>
      <c r="AO484" t="s">
        <v>2727</v>
      </c>
      <c r="AP484" t="s">
        <v>2728</v>
      </c>
      <c r="AQ484">
        <v>1.9159999999999999</v>
      </c>
      <c r="AR484" t="s">
        <v>69</v>
      </c>
      <c r="AS484">
        <v>19</v>
      </c>
      <c r="AT484">
        <v>4</v>
      </c>
      <c r="AU484">
        <v>2.3529999999999999E-2</v>
      </c>
      <c r="AV484">
        <v>-4.79E-3</v>
      </c>
      <c r="AW484">
        <v>9.0300000000000005E-2</v>
      </c>
      <c r="AX484">
        <v>-1.9900000000000001E-2</v>
      </c>
      <c r="AY484">
        <v>4.6699999999999997E-3</v>
      </c>
      <c r="AZ484">
        <v>-7.2000000000000005E-4</v>
      </c>
      <c r="BA484">
        <v>5.1749999999999997E-2</v>
      </c>
      <c r="BB484">
        <v>1</v>
      </c>
      <c r="BC484" t="s">
        <v>70</v>
      </c>
      <c r="BD484">
        <v>0.64600000000000002</v>
      </c>
      <c r="BE484">
        <v>0.64600000000000002</v>
      </c>
      <c r="BF484" t="s">
        <v>71</v>
      </c>
      <c r="BG484">
        <v>0.123893805309734</v>
      </c>
      <c r="BI484">
        <v>23</v>
      </c>
      <c r="BJ484">
        <v>5.1749999999999997E-2</v>
      </c>
      <c r="BK484">
        <v>0.123893805309734</v>
      </c>
    </row>
    <row r="485" spans="1:63">
      <c r="A485">
        <v>2817</v>
      </c>
      <c r="B485" t="s">
        <v>2729</v>
      </c>
      <c r="D485" t="s">
        <v>66</v>
      </c>
      <c r="E485">
        <v>2829155</v>
      </c>
      <c r="F485">
        <v>2829448</v>
      </c>
      <c r="G485" t="s">
        <v>2731</v>
      </c>
      <c r="H485">
        <v>98</v>
      </c>
      <c r="I485" t="s">
        <v>63</v>
      </c>
      <c r="J485">
        <v>5</v>
      </c>
      <c r="K485" t="str">
        <f>HYPERLINK("Gene2817-zp_tree_all.dnd", "Gene2817-tree")</f>
        <v>Gene2817-tree</v>
      </c>
      <c r="L485">
        <v>0</v>
      </c>
      <c r="M485">
        <v>5</v>
      </c>
      <c r="N485">
        <v>0</v>
      </c>
      <c r="O485">
        <v>5</v>
      </c>
      <c r="P485">
        <v>1</v>
      </c>
      <c r="Q485" t="s">
        <v>66</v>
      </c>
      <c r="R485" t="s">
        <v>96</v>
      </c>
      <c r="S485" t="s">
        <v>66</v>
      </c>
      <c r="T485" t="s">
        <v>66</v>
      </c>
      <c r="U485">
        <v>1</v>
      </c>
      <c r="V485">
        <v>2</v>
      </c>
      <c r="W485">
        <v>4</v>
      </c>
      <c r="X485">
        <v>0.33333000000000002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2</v>
      </c>
      <c r="AF485">
        <v>2</v>
      </c>
      <c r="AG485">
        <v>4</v>
      </c>
      <c r="AH485">
        <v>0.33333000000000002</v>
      </c>
      <c r="AI485">
        <v>2</v>
      </c>
      <c r="AJ485">
        <v>2</v>
      </c>
      <c r="AK485">
        <v>0</v>
      </c>
      <c r="AL485">
        <v>2</v>
      </c>
      <c r="AM485">
        <v>6</v>
      </c>
      <c r="AN485">
        <v>4</v>
      </c>
      <c r="AO485" t="s">
        <v>68</v>
      </c>
      <c r="AP485" t="s">
        <v>2732</v>
      </c>
      <c r="AQ485">
        <v>1.129</v>
      </c>
      <c r="AR485" t="s">
        <v>69</v>
      </c>
      <c r="AS485">
        <v>6</v>
      </c>
      <c r="AT485">
        <v>6</v>
      </c>
      <c r="AU485">
        <v>2.3369999999999998E-2</v>
      </c>
      <c r="AV485">
        <v>-5.0000000000000001E-3</v>
      </c>
      <c r="AW485">
        <v>6.2309999999999997E-2</v>
      </c>
      <c r="AX485">
        <v>-1.4829999999999999E-2</v>
      </c>
      <c r="AY485">
        <v>1.414E-2</v>
      </c>
      <c r="AZ485">
        <v>-2.5000000000000001E-3</v>
      </c>
      <c r="BA485">
        <v>0.22691</v>
      </c>
      <c r="BB485">
        <v>0.93799999999999994</v>
      </c>
      <c r="BC485" t="s">
        <v>188</v>
      </c>
      <c r="BD485">
        <v>1.306</v>
      </c>
      <c r="BE485">
        <v>1.306</v>
      </c>
      <c r="BF485" t="s">
        <v>71</v>
      </c>
      <c r="BG485">
        <v>0.27868852459016302</v>
      </c>
      <c r="BI485">
        <v>12</v>
      </c>
      <c r="BJ485">
        <v>0.22691</v>
      </c>
      <c r="BK485">
        <v>0.27868852459016302</v>
      </c>
    </row>
    <row r="486" spans="1:63">
      <c r="A486">
        <v>2821</v>
      </c>
      <c r="B486" t="s">
        <v>2733</v>
      </c>
      <c r="D486" t="s">
        <v>66</v>
      </c>
      <c r="E486">
        <v>2832427</v>
      </c>
      <c r="F486">
        <v>2832690</v>
      </c>
      <c r="G486" t="s">
        <v>2735</v>
      </c>
      <c r="H486">
        <v>88</v>
      </c>
      <c r="I486" t="s">
        <v>63</v>
      </c>
      <c r="J486">
        <v>5</v>
      </c>
      <c r="K486" t="str">
        <f>HYPERLINK("Gene2821-zp_tree_all.dnd", "Gene2821-tree")</f>
        <v>Gene2821-tree</v>
      </c>
      <c r="L486">
        <v>3</v>
      </c>
      <c r="M486">
        <v>2</v>
      </c>
      <c r="N486">
        <v>2</v>
      </c>
      <c r="O486">
        <v>2</v>
      </c>
      <c r="P486">
        <v>0.5</v>
      </c>
      <c r="Q486" t="s">
        <v>185</v>
      </c>
      <c r="R486" t="s">
        <v>124</v>
      </c>
      <c r="S486" t="s">
        <v>66</v>
      </c>
      <c r="T486" t="s">
        <v>66</v>
      </c>
      <c r="U486">
        <v>0</v>
      </c>
      <c r="V486">
        <v>0</v>
      </c>
      <c r="W486">
        <v>3</v>
      </c>
      <c r="X486">
        <v>0</v>
      </c>
      <c r="Y486">
        <v>0</v>
      </c>
      <c r="Z486">
        <v>0</v>
      </c>
      <c r="AA486">
        <v>0</v>
      </c>
      <c r="AB486">
        <v>2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2</v>
      </c>
      <c r="AJ486">
        <v>1</v>
      </c>
      <c r="AK486">
        <v>2</v>
      </c>
      <c r="AL486">
        <v>1</v>
      </c>
      <c r="AM486">
        <v>3</v>
      </c>
      <c r="AN486">
        <v>2</v>
      </c>
      <c r="AO486" t="s">
        <v>2736</v>
      </c>
      <c r="AP486" t="s">
        <v>2737</v>
      </c>
      <c r="AQ486">
        <v>0.437</v>
      </c>
      <c r="AR486" t="s">
        <v>69</v>
      </c>
      <c r="AS486">
        <v>5</v>
      </c>
      <c r="AT486">
        <v>3</v>
      </c>
      <c r="AU486">
        <v>1.831E-2</v>
      </c>
      <c r="AV486">
        <v>-3.9300000000000003E-3</v>
      </c>
      <c r="AW486">
        <v>4.9639999999999997E-2</v>
      </c>
      <c r="AX486">
        <v>-1.0529999999999999E-2</v>
      </c>
      <c r="AY486">
        <v>9.1999999999999998E-3</v>
      </c>
      <c r="AZ486">
        <v>-1.56E-3</v>
      </c>
      <c r="BA486">
        <v>0.18525</v>
      </c>
      <c r="BB486">
        <v>0.98799999999999999</v>
      </c>
      <c r="BC486" t="s">
        <v>70</v>
      </c>
      <c r="BD486">
        <v>1.028</v>
      </c>
      <c r="BE486">
        <v>1.028</v>
      </c>
      <c r="BF486" t="s">
        <v>71</v>
      </c>
      <c r="BG486">
        <v>7.5630252100840303E-2</v>
      </c>
      <c r="BI486">
        <v>8</v>
      </c>
      <c r="BJ486">
        <v>0.18525</v>
      </c>
      <c r="BK486">
        <v>7.5630252100840303E-2</v>
      </c>
    </row>
    <row r="487" spans="1:63">
      <c r="A487">
        <v>2822</v>
      </c>
      <c r="B487" t="s">
        <v>2738</v>
      </c>
      <c r="D487" t="s">
        <v>66</v>
      </c>
      <c r="E487">
        <v>2832730</v>
      </c>
      <c r="F487">
        <v>2833872</v>
      </c>
      <c r="G487" t="s">
        <v>2740</v>
      </c>
      <c r="H487">
        <v>381</v>
      </c>
      <c r="I487" t="s">
        <v>85</v>
      </c>
      <c r="J487">
        <v>4</v>
      </c>
      <c r="K487" t="str">
        <f>HYPERLINK("Gene2822-zp_tree_all.dnd", "Gene2822-tree")</f>
        <v>Gene2822-tree</v>
      </c>
      <c r="L487">
        <v>3</v>
      </c>
      <c r="M487">
        <v>1</v>
      </c>
      <c r="N487">
        <v>3</v>
      </c>
      <c r="O487">
        <v>1</v>
      </c>
      <c r="P487">
        <v>0.25</v>
      </c>
      <c r="Q487" t="s">
        <v>86</v>
      </c>
      <c r="R487" t="s">
        <v>65</v>
      </c>
      <c r="S487" t="s">
        <v>66</v>
      </c>
      <c r="T487" t="s">
        <v>66</v>
      </c>
      <c r="U487">
        <v>0</v>
      </c>
      <c r="V487">
        <v>0</v>
      </c>
      <c r="W487">
        <v>1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4</v>
      </c>
      <c r="AJ487">
        <v>1</v>
      </c>
      <c r="AK487">
        <v>57</v>
      </c>
      <c r="AL487">
        <v>1</v>
      </c>
      <c r="AM487">
        <v>7</v>
      </c>
      <c r="AN487">
        <v>0</v>
      </c>
      <c r="AO487" t="s">
        <v>2741</v>
      </c>
      <c r="AP487" t="s">
        <v>68</v>
      </c>
      <c r="AQ487">
        <v>0.38400000000000001</v>
      </c>
      <c r="AR487" t="s">
        <v>69</v>
      </c>
      <c r="AS487">
        <v>64</v>
      </c>
      <c r="AT487">
        <v>1</v>
      </c>
      <c r="AU487">
        <v>2.887E-2</v>
      </c>
      <c r="AV487">
        <v>-8.5599999999999999E-3</v>
      </c>
      <c r="AW487">
        <v>0.14574000000000001</v>
      </c>
      <c r="AX487">
        <v>-4.4690000000000001E-2</v>
      </c>
      <c r="AY487">
        <v>5.6999999999999998E-4</v>
      </c>
      <c r="AZ487">
        <v>-2.3000000000000001E-4</v>
      </c>
      <c r="BA487">
        <v>3.8800000000000002E-3</v>
      </c>
      <c r="BB487">
        <v>1</v>
      </c>
      <c r="BC487" t="s">
        <v>70</v>
      </c>
      <c r="BD487">
        <v>-0.41399999999999998</v>
      </c>
      <c r="BE487">
        <v>-0.56599999999999995</v>
      </c>
      <c r="BF487" t="s">
        <v>71</v>
      </c>
      <c r="BG487">
        <v>9.6296296296296297E-2</v>
      </c>
      <c r="BI487">
        <v>65</v>
      </c>
      <c r="BJ487">
        <v>3.8800000000000002E-3</v>
      </c>
      <c r="BK487">
        <v>9.6296296296296297E-2</v>
      </c>
    </row>
    <row r="488" spans="1:63">
      <c r="A488">
        <v>2824</v>
      </c>
      <c r="B488" t="s">
        <v>2742</v>
      </c>
      <c r="D488" t="s">
        <v>66</v>
      </c>
      <c r="E488">
        <v>2834960</v>
      </c>
      <c r="F488">
        <v>2835157</v>
      </c>
      <c r="G488" t="s">
        <v>74</v>
      </c>
      <c r="H488">
        <v>66</v>
      </c>
      <c r="I488" t="s">
        <v>63</v>
      </c>
      <c r="J488">
        <v>5</v>
      </c>
      <c r="K488" t="str">
        <f>HYPERLINK("Gene2824-zp_tree_all.dnd", "Gene2824-tree")</f>
        <v>Gene2824-tree</v>
      </c>
      <c r="L488">
        <v>4</v>
      </c>
      <c r="M488">
        <v>1</v>
      </c>
      <c r="N488">
        <v>4</v>
      </c>
      <c r="O488">
        <v>1</v>
      </c>
      <c r="P488">
        <v>0.2</v>
      </c>
      <c r="Q488" t="s">
        <v>64</v>
      </c>
      <c r="R488" t="s">
        <v>65</v>
      </c>
      <c r="S488" t="s">
        <v>66</v>
      </c>
      <c r="T488" t="s">
        <v>66</v>
      </c>
      <c r="U488">
        <v>0</v>
      </c>
      <c r="V488">
        <v>0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</v>
      </c>
      <c r="AH488">
        <v>0</v>
      </c>
      <c r="AI488">
        <v>4</v>
      </c>
      <c r="AJ488">
        <v>2</v>
      </c>
      <c r="AK488">
        <v>5</v>
      </c>
      <c r="AL488">
        <v>1</v>
      </c>
      <c r="AM488">
        <v>7</v>
      </c>
      <c r="AN488">
        <v>0</v>
      </c>
      <c r="AO488" t="s">
        <v>2744</v>
      </c>
      <c r="AP488" t="s">
        <v>68</v>
      </c>
      <c r="AQ488">
        <v>0.58099999999999996</v>
      </c>
      <c r="AR488" t="s">
        <v>69</v>
      </c>
      <c r="AS488">
        <v>12</v>
      </c>
      <c r="AT488">
        <v>1</v>
      </c>
      <c r="AU488">
        <v>3.1820000000000001E-2</v>
      </c>
      <c r="AV488">
        <v>-4.4600000000000004E-3</v>
      </c>
      <c r="AW488">
        <v>0.15051999999999999</v>
      </c>
      <c r="AX488">
        <v>-2.436E-2</v>
      </c>
      <c r="AY488">
        <v>2.6099999999999999E-3</v>
      </c>
      <c r="AZ488">
        <v>-9.1E-4</v>
      </c>
      <c r="BA488">
        <v>1.737E-2</v>
      </c>
      <c r="BB488">
        <v>1</v>
      </c>
      <c r="BC488" t="s">
        <v>70</v>
      </c>
      <c r="BD488">
        <v>0.67800000000000005</v>
      </c>
      <c r="BE488">
        <v>0.05</v>
      </c>
      <c r="BF488" t="s">
        <v>71</v>
      </c>
      <c r="BG488">
        <v>0.24242424242424199</v>
      </c>
      <c r="BI488">
        <v>13</v>
      </c>
      <c r="BJ488">
        <v>1.737E-2</v>
      </c>
      <c r="BK488">
        <v>0.24242424242424199</v>
      </c>
    </row>
    <row r="489" spans="1:63">
      <c r="A489">
        <v>2843</v>
      </c>
      <c r="B489" t="s">
        <v>2747</v>
      </c>
      <c r="D489" t="s">
        <v>66</v>
      </c>
      <c r="E489">
        <v>2852160</v>
      </c>
      <c r="F489">
        <v>2852600</v>
      </c>
      <c r="G489" t="s">
        <v>74</v>
      </c>
      <c r="H489">
        <v>147</v>
      </c>
      <c r="I489" t="s">
        <v>63</v>
      </c>
      <c r="J489">
        <v>5</v>
      </c>
      <c r="K489" t="str">
        <f>HYPERLINK("Gene2843-zp_tree_all.dnd", "Gene2843-tree")</f>
        <v>Gene2843-tree</v>
      </c>
      <c r="L489">
        <v>5</v>
      </c>
      <c r="M489">
        <v>0</v>
      </c>
      <c r="N489">
        <v>5</v>
      </c>
      <c r="O489">
        <v>0</v>
      </c>
      <c r="P489">
        <v>0</v>
      </c>
      <c r="Q489" t="s">
        <v>96</v>
      </c>
      <c r="R489" t="s">
        <v>66</v>
      </c>
      <c r="S489" t="s">
        <v>66</v>
      </c>
      <c r="T489" t="s">
        <v>66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5</v>
      </c>
      <c r="AJ489">
        <v>2</v>
      </c>
      <c r="AK489">
        <v>15</v>
      </c>
      <c r="AL489">
        <v>0</v>
      </c>
      <c r="AM489">
        <v>12</v>
      </c>
      <c r="AN489">
        <v>0</v>
      </c>
      <c r="AO489" t="s">
        <v>68</v>
      </c>
      <c r="AP489" t="s">
        <v>68</v>
      </c>
      <c r="AQ489">
        <v>0</v>
      </c>
      <c r="AR489" t="s">
        <v>69</v>
      </c>
      <c r="AS489">
        <v>27</v>
      </c>
      <c r="AT489">
        <v>0</v>
      </c>
      <c r="AU489">
        <v>2.9929999999999998E-2</v>
      </c>
      <c r="AV489">
        <v>-3.5500000000000002E-3</v>
      </c>
      <c r="AW489">
        <v>0.15064</v>
      </c>
      <c r="AX489">
        <v>-1.8749999999999999E-2</v>
      </c>
      <c r="AY489">
        <v>0</v>
      </c>
      <c r="AZ489">
        <v>0</v>
      </c>
      <c r="BA489">
        <v>0</v>
      </c>
      <c r="BB489">
        <v>1</v>
      </c>
      <c r="BC489" t="s">
        <v>70</v>
      </c>
      <c r="BD489">
        <v>0.13800000000000001</v>
      </c>
      <c r="BE489">
        <v>0.13800000000000001</v>
      </c>
      <c r="BF489" t="s">
        <v>71</v>
      </c>
      <c r="BG489">
        <v>0.13294797687861201</v>
      </c>
      <c r="BI489">
        <v>27</v>
      </c>
      <c r="BJ489">
        <v>0</v>
      </c>
      <c r="BK489">
        <v>0.13294797687861201</v>
      </c>
    </row>
    <row r="490" spans="1:63">
      <c r="A490">
        <v>2844</v>
      </c>
      <c r="B490" t="s">
        <v>2749</v>
      </c>
      <c r="D490" t="s">
        <v>66</v>
      </c>
      <c r="E490">
        <v>2852664</v>
      </c>
      <c r="F490">
        <v>2853947</v>
      </c>
      <c r="G490" t="s">
        <v>2751</v>
      </c>
      <c r="H490">
        <v>428</v>
      </c>
      <c r="I490" t="s">
        <v>63</v>
      </c>
      <c r="J490">
        <v>5</v>
      </c>
      <c r="K490" t="str">
        <f>HYPERLINK("Gene2844-zp_tree_all.dnd", "Gene2844-tree")</f>
        <v>Gene2844-tree</v>
      </c>
      <c r="L490">
        <v>1</v>
      </c>
      <c r="M490">
        <v>4</v>
      </c>
      <c r="N490">
        <v>1</v>
      </c>
      <c r="O490">
        <v>4</v>
      </c>
      <c r="P490">
        <v>0.8</v>
      </c>
      <c r="Q490" t="s">
        <v>65</v>
      </c>
      <c r="R490" t="s">
        <v>64</v>
      </c>
      <c r="S490" t="s">
        <v>66</v>
      </c>
      <c r="T490" t="s">
        <v>66</v>
      </c>
      <c r="U490">
        <v>1</v>
      </c>
      <c r="V490">
        <v>2</v>
      </c>
      <c r="W490">
        <v>8</v>
      </c>
      <c r="X490">
        <v>0.2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2</v>
      </c>
      <c r="AE490">
        <v>0</v>
      </c>
      <c r="AF490">
        <v>2</v>
      </c>
      <c r="AG490">
        <v>8</v>
      </c>
      <c r="AH490">
        <v>0.2</v>
      </c>
      <c r="AI490">
        <v>5</v>
      </c>
      <c r="AJ490">
        <v>2</v>
      </c>
      <c r="AK490">
        <v>58</v>
      </c>
      <c r="AL490">
        <v>5</v>
      </c>
      <c r="AM490">
        <v>33</v>
      </c>
      <c r="AN490">
        <v>7</v>
      </c>
      <c r="AO490" t="s">
        <v>2752</v>
      </c>
      <c r="AP490" t="s">
        <v>2753</v>
      </c>
      <c r="AQ490">
        <v>2.4860000000000002</v>
      </c>
      <c r="AR490" t="s">
        <v>69</v>
      </c>
      <c r="AS490">
        <v>91</v>
      </c>
      <c r="AT490">
        <v>12</v>
      </c>
      <c r="AU490">
        <v>3.6060000000000002E-2</v>
      </c>
      <c r="AV490">
        <v>-3.8400000000000001E-3</v>
      </c>
      <c r="AW490">
        <v>0.15007999999999999</v>
      </c>
      <c r="AX490">
        <v>-1.5970000000000002E-2</v>
      </c>
      <c r="AY490">
        <v>6.1199999999999996E-3</v>
      </c>
      <c r="AZ490">
        <v>-9.6000000000000002E-4</v>
      </c>
      <c r="BA490">
        <v>4.0809999999999999E-2</v>
      </c>
      <c r="BB490">
        <v>1</v>
      </c>
      <c r="BC490" t="s">
        <v>70</v>
      </c>
      <c r="BD490">
        <v>0.28199999999999997</v>
      </c>
      <c r="BE490">
        <v>6.0999999999999999E-2</v>
      </c>
      <c r="BF490" t="s">
        <v>71</v>
      </c>
      <c r="BG490">
        <v>0.155698234349919</v>
      </c>
      <c r="BI490">
        <v>103</v>
      </c>
      <c r="BJ490">
        <v>4.0809999999999999E-2</v>
      </c>
      <c r="BK490">
        <v>0.155698234349919</v>
      </c>
    </row>
    <row r="491" spans="1:63">
      <c r="A491">
        <v>2845</v>
      </c>
      <c r="B491" t="s">
        <v>2754</v>
      </c>
      <c r="D491" t="s">
        <v>66</v>
      </c>
      <c r="E491">
        <v>2853984</v>
      </c>
      <c r="F491">
        <v>2854559</v>
      </c>
      <c r="G491" t="s">
        <v>2756</v>
      </c>
      <c r="H491">
        <v>192</v>
      </c>
      <c r="I491" t="s">
        <v>63</v>
      </c>
      <c r="J491">
        <v>5</v>
      </c>
      <c r="K491" t="str">
        <f>HYPERLINK("Gene2845-zp_tree_all.dnd", "Gene2845-tree")</f>
        <v>Gene2845-tree</v>
      </c>
      <c r="L491">
        <v>4</v>
      </c>
      <c r="M491">
        <v>1</v>
      </c>
      <c r="N491">
        <v>4</v>
      </c>
      <c r="O491">
        <v>1</v>
      </c>
      <c r="P491">
        <v>0.2</v>
      </c>
      <c r="Q491" t="s">
        <v>64</v>
      </c>
      <c r="R491" t="s">
        <v>65</v>
      </c>
      <c r="S491" t="s">
        <v>66</v>
      </c>
      <c r="T491" t="s">
        <v>66</v>
      </c>
      <c r="U491">
        <v>0</v>
      </c>
      <c r="V491">
        <v>0</v>
      </c>
      <c r="W491">
        <v>2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1</v>
      </c>
      <c r="AH491">
        <v>0</v>
      </c>
      <c r="AI491">
        <v>5</v>
      </c>
      <c r="AJ491">
        <v>2</v>
      </c>
      <c r="AK491">
        <v>11</v>
      </c>
      <c r="AL491">
        <v>1</v>
      </c>
      <c r="AM491">
        <v>6</v>
      </c>
      <c r="AN491">
        <v>1</v>
      </c>
      <c r="AO491" t="s">
        <v>2757</v>
      </c>
      <c r="AP491" t="s">
        <v>2758</v>
      </c>
      <c r="AQ491">
        <v>0.34499999999999997</v>
      </c>
      <c r="AR491" t="s">
        <v>69</v>
      </c>
      <c r="AS491">
        <v>17</v>
      </c>
      <c r="AT491">
        <v>2</v>
      </c>
      <c r="AU491">
        <v>1.5789999999999998E-2</v>
      </c>
      <c r="AV491">
        <v>-1.8600000000000001E-3</v>
      </c>
      <c r="AW491">
        <v>7.1239999999999998E-2</v>
      </c>
      <c r="AX491">
        <v>-8.4600000000000005E-3</v>
      </c>
      <c r="AY491">
        <v>2.2200000000000002E-3</v>
      </c>
      <c r="AZ491">
        <v>-5.4000000000000001E-4</v>
      </c>
      <c r="BA491">
        <v>3.116E-2</v>
      </c>
      <c r="BB491">
        <v>1</v>
      </c>
      <c r="BC491" t="s">
        <v>70</v>
      </c>
      <c r="BD491">
        <v>-9.7000000000000003E-2</v>
      </c>
      <c r="BE491">
        <v>-9.7000000000000003E-2</v>
      </c>
      <c r="BF491" t="s">
        <v>71</v>
      </c>
      <c r="BG491">
        <v>0.12554112554112501</v>
      </c>
      <c r="BI491">
        <v>19</v>
      </c>
      <c r="BJ491">
        <v>3.116E-2</v>
      </c>
      <c r="BK491">
        <v>0.12554112554112501</v>
      </c>
    </row>
    <row r="492" spans="1:63">
      <c r="A492">
        <v>2847</v>
      </c>
      <c r="B492" t="s">
        <v>2762</v>
      </c>
      <c r="D492" t="s">
        <v>66</v>
      </c>
      <c r="E492">
        <v>2855180</v>
      </c>
      <c r="F492">
        <v>2855515</v>
      </c>
      <c r="G492" t="s">
        <v>74</v>
      </c>
      <c r="H492">
        <v>112</v>
      </c>
      <c r="I492" t="s">
        <v>85</v>
      </c>
      <c r="J492">
        <v>4</v>
      </c>
      <c r="K492" t="str">
        <f>HYPERLINK("Gene2847-zp_tree_all.dnd", "Gene2847-tree")</f>
        <v>Gene2847-tree</v>
      </c>
      <c r="L492">
        <v>2</v>
      </c>
      <c r="M492">
        <v>2</v>
      </c>
      <c r="N492">
        <v>2</v>
      </c>
      <c r="O492">
        <v>2</v>
      </c>
      <c r="P492">
        <v>0.5</v>
      </c>
      <c r="Q492" t="s">
        <v>124</v>
      </c>
      <c r="R492" t="s">
        <v>124</v>
      </c>
      <c r="S492" t="s">
        <v>66</v>
      </c>
      <c r="T492" t="s">
        <v>66</v>
      </c>
      <c r="U492">
        <v>0</v>
      </c>
      <c r="V492">
        <v>0</v>
      </c>
      <c r="W492">
        <v>3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3</v>
      </c>
      <c r="AH492">
        <v>0</v>
      </c>
      <c r="AI492">
        <v>3</v>
      </c>
      <c r="AJ492">
        <v>1</v>
      </c>
      <c r="AK492">
        <v>9</v>
      </c>
      <c r="AL492">
        <v>3</v>
      </c>
      <c r="AM492">
        <v>2</v>
      </c>
      <c r="AN492">
        <v>0</v>
      </c>
      <c r="AO492" t="s">
        <v>2764</v>
      </c>
      <c r="AP492" t="s">
        <v>68</v>
      </c>
      <c r="AQ492">
        <v>1.917</v>
      </c>
      <c r="AR492" t="s">
        <v>69</v>
      </c>
      <c r="AS492">
        <v>11</v>
      </c>
      <c r="AT492">
        <v>3</v>
      </c>
      <c r="AU492">
        <v>2.1829999999999999E-2</v>
      </c>
      <c r="AV492">
        <v>-3.7599999999999999E-3</v>
      </c>
      <c r="AW492">
        <v>7.8049999999999994E-2</v>
      </c>
      <c r="AX492">
        <v>-1.2840000000000001E-2</v>
      </c>
      <c r="AY492">
        <v>5.8799999999999998E-3</v>
      </c>
      <c r="AZ492">
        <v>-1.5299999999999999E-3</v>
      </c>
      <c r="BA492">
        <v>7.5289999999999996E-2</v>
      </c>
      <c r="BB492">
        <v>1</v>
      </c>
      <c r="BC492" t="s">
        <v>70</v>
      </c>
      <c r="BD492">
        <v>-0.40300000000000002</v>
      </c>
      <c r="BE492">
        <v>-0.40300000000000002</v>
      </c>
      <c r="BF492" t="s">
        <v>71</v>
      </c>
      <c r="BG492">
        <v>0.16666666666666599</v>
      </c>
      <c r="BI492">
        <v>14</v>
      </c>
      <c r="BJ492">
        <v>7.5289999999999996E-2</v>
      </c>
      <c r="BK492">
        <v>0.16666666666666599</v>
      </c>
    </row>
    <row r="493" spans="1:63">
      <c r="A493">
        <v>2848</v>
      </c>
      <c r="B493" t="s">
        <v>2765</v>
      </c>
      <c r="D493" t="s">
        <v>66</v>
      </c>
      <c r="E493">
        <v>2855521</v>
      </c>
      <c r="F493">
        <v>2855826</v>
      </c>
      <c r="G493" t="s">
        <v>2767</v>
      </c>
      <c r="H493">
        <v>102</v>
      </c>
      <c r="I493" t="s">
        <v>63</v>
      </c>
      <c r="J493">
        <v>5</v>
      </c>
      <c r="K493" t="str">
        <f>HYPERLINK("Gene2848-zp_tree_all.dnd", "Gene2848-tree")</f>
        <v>Gene2848-tree</v>
      </c>
      <c r="L493">
        <v>0</v>
      </c>
      <c r="M493">
        <v>5</v>
      </c>
      <c r="N493">
        <v>0</v>
      </c>
      <c r="O493">
        <v>4</v>
      </c>
      <c r="P493">
        <v>1</v>
      </c>
      <c r="Q493" t="s">
        <v>66</v>
      </c>
      <c r="R493" t="s">
        <v>135</v>
      </c>
      <c r="S493">
        <v>3.1949999999999998</v>
      </c>
      <c r="T493" t="s">
        <v>69</v>
      </c>
      <c r="U493">
        <v>0</v>
      </c>
      <c r="V493">
        <v>0</v>
      </c>
      <c r="W493">
        <v>3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3</v>
      </c>
      <c r="AH493">
        <v>0</v>
      </c>
      <c r="AI493">
        <v>3</v>
      </c>
      <c r="AJ493">
        <v>0</v>
      </c>
      <c r="AK493">
        <v>5</v>
      </c>
      <c r="AL493">
        <v>3</v>
      </c>
      <c r="AM493">
        <v>0</v>
      </c>
      <c r="AN493">
        <v>0</v>
      </c>
      <c r="AO493" t="s">
        <v>2768</v>
      </c>
      <c r="AP493" t="s">
        <v>68</v>
      </c>
      <c r="AQ493">
        <v>1.639</v>
      </c>
      <c r="AR493" t="s">
        <v>69</v>
      </c>
      <c r="AS493">
        <v>5</v>
      </c>
      <c r="AT493">
        <v>3</v>
      </c>
      <c r="AU493">
        <v>1.307E-2</v>
      </c>
      <c r="AV493">
        <v>-2.8800000000000002E-3</v>
      </c>
      <c r="AW493">
        <v>3.6859999999999997E-2</v>
      </c>
      <c r="AX493">
        <v>-1.1509999999999999E-2</v>
      </c>
      <c r="AY493">
        <v>6.4000000000000003E-3</v>
      </c>
      <c r="AZ493">
        <v>-8.7000000000000001E-4</v>
      </c>
      <c r="BA493">
        <v>0.17363999999999999</v>
      </c>
      <c r="BB493">
        <v>0.98799999999999999</v>
      </c>
      <c r="BC493" t="s">
        <v>70</v>
      </c>
      <c r="BD493">
        <v>-1.1739999999999999</v>
      </c>
      <c r="BE493">
        <v>-1.1739999999999999</v>
      </c>
      <c r="BF493" t="s">
        <v>71</v>
      </c>
      <c r="BG493">
        <v>4.8387096774193498E-2</v>
      </c>
      <c r="BI493">
        <v>8</v>
      </c>
      <c r="BJ493">
        <v>0.17363999999999999</v>
      </c>
      <c r="BK493">
        <v>4.8387096774193498E-2</v>
      </c>
    </row>
    <row r="494" spans="1:63">
      <c r="A494">
        <v>2851</v>
      </c>
      <c r="B494" t="s">
        <v>2769</v>
      </c>
      <c r="D494" t="s">
        <v>66</v>
      </c>
      <c r="E494">
        <v>2857779</v>
      </c>
      <c r="F494">
        <v>2858582</v>
      </c>
      <c r="G494" t="s">
        <v>2771</v>
      </c>
      <c r="H494">
        <v>268</v>
      </c>
      <c r="I494" t="s">
        <v>63</v>
      </c>
      <c r="J494">
        <v>5</v>
      </c>
      <c r="K494" t="str">
        <f>HYPERLINK("Gene2851-zp_tree_all.dnd", "Gene2851-tree")</f>
        <v>Gene2851-tree</v>
      </c>
      <c r="L494">
        <v>3</v>
      </c>
      <c r="M494">
        <v>2</v>
      </c>
      <c r="N494">
        <v>3</v>
      </c>
      <c r="O494">
        <v>2</v>
      </c>
      <c r="P494">
        <v>0.4</v>
      </c>
      <c r="Q494" t="s">
        <v>86</v>
      </c>
      <c r="R494" t="s">
        <v>124</v>
      </c>
      <c r="S494" t="s">
        <v>66</v>
      </c>
      <c r="T494" t="s">
        <v>66</v>
      </c>
      <c r="U494">
        <v>0</v>
      </c>
      <c r="V494">
        <v>0</v>
      </c>
      <c r="W494">
        <v>6</v>
      </c>
      <c r="X494">
        <v>0</v>
      </c>
      <c r="Y494">
        <v>0</v>
      </c>
      <c r="Z494">
        <v>0</v>
      </c>
      <c r="AA494">
        <v>0</v>
      </c>
      <c r="AB494">
        <v>2</v>
      </c>
      <c r="AC494">
        <v>0</v>
      </c>
      <c r="AD494">
        <v>0</v>
      </c>
      <c r="AE494">
        <v>0</v>
      </c>
      <c r="AF494">
        <v>0</v>
      </c>
      <c r="AG494">
        <v>4</v>
      </c>
      <c r="AH494">
        <v>0</v>
      </c>
      <c r="AI494">
        <v>5</v>
      </c>
      <c r="AJ494">
        <v>2</v>
      </c>
      <c r="AK494">
        <v>32</v>
      </c>
      <c r="AL494">
        <v>4</v>
      </c>
      <c r="AM494">
        <v>16</v>
      </c>
      <c r="AN494">
        <v>2</v>
      </c>
      <c r="AO494" t="s">
        <v>2772</v>
      </c>
      <c r="AP494" t="s">
        <v>2773</v>
      </c>
      <c r="AQ494">
        <v>1.6E-2</v>
      </c>
      <c r="AR494" t="s">
        <v>69</v>
      </c>
      <c r="AS494">
        <v>48</v>
      </c>
      <c r="AT494">
        <v>6</v>
      </c>
      <c r="AU494">
        <v>2.8979999999999999E-2</v>
      </c>
      <c r="AV494">
        <v>-3.5000000000000001E-3</v>
      </c>
      <c r="AW494">
        <v>0.12052</v>
      </c>
      <c r="AX494">
        <v>-1.545E-2</v>
      </c>
      <c r="AY494">
        <v>4.5500000000000002E-3</v>
      </c>
      <c r="AZ494">
        <v>-8.1999999999999998E-4</v>
      </c>
      <c r="BA494">
        <v>3.7769999999999998E-2</v>
      </c>
      <c r="BB494">
        <v>1</v>
      </c>
      <c r="BC494" t="s">
        <v>70</v>
      </c>
      <c r="BD494">
        <v>0.41599999999999998</v>
      </c>
      <c r="BE494">
        <v>0.109</v>
      </c>
      <c r="BF494" t="s">
        <v>71</v>
      </c>
      <c r="BG494">
        <v>9.6952908587257594E-2</v>
      </c>
      <c r="BI494">
        <v>54</v>
      </c>
      <c r="BJ494">
        <v>3.7769999999999998E-2</v>
      </c>
      <c r="BK494">
        <v>9.6952908587257594E-2</v>
      </c>
    </row>
    <row r="495" spans="1:63">
      <c r="A495">
        <v>2852</v>
      </c>
      <c r="B495" t="s">
        <v>2774</v>
      </c>
      <c r="D495" t="s">
        <v>66</v>
      </c>
      <c r="E495">
        <v>2858587</v>
      </c>
      <c r="F495">
        <v>2859264</v>
      </c>
      <c r="G495" t="s">
        <v>2776</v>
      </c>
      <c r="H495">
        <v>226</v>
      </c>
      <c r="I495" t="s">
        <v>63</v>
      </c>
      <c r="J495">
        <v>5</v>
      </c>
      <c r="K495" t="str">
        <f>HYPERLINK("Gene2852-zp_tree_all.dnd", "Gene2852-tree")</f>
        <v>Gene2852-tree</v>
      </c>
      <c r="L495">
        <v>4</v>
      </c>
      <c r="M495">
        <v>1</v>
      </c>
      <c r="N495">
        <v>4</v>
      </c>
      <c r="O495">
        <v>1</v>
      </c>
      <c r="P495">
        <v>0.2</v>
      </c>
      <c r="Q495" t="s">
        <v>64</v>
      </c>
      <c r="R495" t="s">
        <v>65</v>
      </c>
      <c r="S495" t="s">
        <v>66</v>
      </c>
      <c r="T495" t="s">
        <v>66</v>
      </c>
      <c r="U495">
        <v>0</v>
      </c>
      <c r="V495">
        <v>0</v>
      </c>
      <c r="W495">
        <v>5</v>
      </c>
      <c r="X495">
        <v>0</v>
      </c>
      <c r="Y495">
        <v>0</v>
      </c>
      <c r="Z495">
        <v>0</v>
      </c>
      <c r="AA495">
        <v>0</v>
      </c>
      <c r="AB495">
        <v>4</v>
      </c>
      <c r="AC495">
        <v>0</v>
      </c>
      <c r="AD495">
        <v>0</v>
      </c>
      <c r="AE495">
        <v>0</v>
      </c>
      <c r="AF495">
        <v>0</v>
      </c>
      <c r="AG495">
        <v>1</v>
      </c>
      <c r="AH495">
        <v>0</v>
      </c>
      <c r="AI495">
        <v>5</v>
      </c>
      <c r="AJ495">
        <v>2</v>
      </c>
      <c r="AK495">
        <v>14</v>
      </c>
      <c r="AL495">
        <v>1</v>
      </c>
      <c r="AM495">
        <v>12</v>
      </c>
      <c r="AN495">
        <v>4</v>
      </c>
      <c r="AO495" t="s">
        <v>2777</v>
      </c>
      <c r="AP495" t="s">
        <v>2778</v>
      </c>
      <c r="AQ495">
        <v>0.79700000000000004</v>
      </c>
      <c r="AR495" t="s">
        <v>69</v>
      </c>
      <c r="AS495">
        <v>26</v>
      </c>
      <c r="AT495">
        <v>5</v>
      </c>
      <c r="AU495">
        <v>2.2419999999999999E-2</v>
      </c>
      <c r="AV495">
        <v>-3.3E-3</v>
      </c>
      <c r="AW495">
        <v>8.6749999999999994E-2</v>
      </c>
      <c r="AX495">
        <v>-1.2109999999999999E-2</v>
      </c>
      <c r="AY495">
        <v>5.3600000000000002E-3</v>
      </c>
      <c r="AZ495">
        <v>-1.0499999999999999E-3</v>
      </c>
      <c r="BA495">
        <v>6.1809999999999997E-2</v>
      </c>
      <c r="BB495">
        <v>1</v>
      </c>
      <c r="BC495" t="s">
        <v>70</v>
      </c>
      <c r="BD495">
        <v>0.68700000000000006</v>
      </c>
      <c r="BE495">
        <v>0.47199999999999998</v>
      </c>
      <c r="BF495" t="s">
        <v>71</v>
      </c>
      <c r="BG495">
        <v>0.13380281690140799</v>
      </c>
      <c r="BI495">
        <v>31</v>
      </c>
      <c r="BJ495">
        <v>6.1809999999999997E-2</v>
      </c>
      <c r="BK495">
        <v>0.13380281690140799</v>
      </c>
    </row>
    <row r="496" spans="1:63">
      <c r="A496">
        <v>2854</v>
      </c>
      <c r="B496" t="s">
        <v>2779</v>
      </c>
      <c r="D496" t="s">
        <v>66</v>
      </c>
      <c r="E496">
        <v>2859835</v>
      </c>
      <c r="F496">
        <v>2860704</v>
      </c>
      <c r="G496" t="s">
        <v>2781</v>
      </c>
      <c r="H496">
        <v>290</v>
      </c>
      <c r="I496" t="s">
        <v>63</v>
      </c>
      <c r="J496">
        <v>5</v>
      </c>
      <c r="K496" t="str">
        <f>HYPERLINK("Gene2854-zp_tree_all.dnd", "Gene2854-tree")</f>
        <v>Gene2854-tree</v>
      </c>
      <c r="L496">
        <v>5</v>
      </c>
      <c r="M496">
        <v>0</v>
      </c>
      <c r="N496">
        <v>5</v>
      </c>
      <c r="O496">
        <v>0</v>
      </c>
      <c r="P496">
        <v>0</v>
      </c>
      <c r="Q496" t="s">
        <v>96</v>
      </c>
      <c r="R496" t="s">
        <v>66</v>
      </c>
      <c r="S496" t="s">
        <v>66</v>
      </c>
      <c r="T496" t="s">
        <v>66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4</v>
      </c>
      <c r="AJ496">
        <v>2</v>
      </c>
      <c r="AK496">
        <v>22</v>
      </c>
      <c r="AL496">
        <v>0</v>
      </c>
      <c r="AM496">
        <v>21</v>
      </c>
      <c r="AN496">
        <v>1</v>
      </c>
      <c r="AO496" t="s">
        <v>68</v>
      </c>
      <c r="AP496" t="s">
        <v>2782</v>
      </c>
      <c r="AQ496">
        <v>1.097</v>
      </c>
      <c r="AR496" t="s">
        <v>69</v>
      </c>
      <c r="AS496">
        <v>43</v>
      </c>
      <c r="AT496">
        <v>1</v>
      </c>
      <c r="AU496">
        <v>2.4479999999999998E-2</v>
      </c>
      <c r="AV496">
        <v>-3.6700000000000001E-3</v>
      </c>
      <c r="AW496">
        <v>0.11641</v>
      </c>
      <c r="AX496">
        <v>-1.839E-2</v>
      </c>
      <c r="AY496">
        <v>8.8999999999999995E-4</v>
      </c>
      <c r="AZ496">
        <v>-1.7000000000000001E-4</v>
      </c>
      <c r="BA496">
        <v>7.6499999999999997E-3</v>
      </c>
      <c r="BB496">
        <v>1</v>
      </c>
      <c r="BC496" t="s">
        <v>70</v>
      </c>
      <c r="BD496">
        <v>0.42599999999999999</v>
      </c>
      <c r="BE496">
        <v>0.23899999999999999</v>
      </c>
      <c r="BF496" t="s">
        <v>71</v>
      </c>
      <c r="BG496">
        <v>0.124324324324324</v>
      </c>
      <c r="BI496">
        <v>44</v>
      </c>
      <c r="BJ496">
        <v>7.6499999999999997E-3</v>
      </c>
      <c r="BK496">
        <v>0.124324324324324</v>
      </c>
    </row>
    <row r="497" spans="1:63">
      <c r="A497">
        <v>2855</v>
      </c>
      <c r="B497" t="s">
        <v>2783</v>
      </c>
      <c r="D497" t="s">
        <v>66</v>
      </c>
      <c r="E497">
        <v>2860738</v>
      </c>
      <c r="F497">
        <v>2861748</v>
      </c>
      <c r="G497" t="s">
        <v>2785</v>
      </c>
      <c r="H497">
        <v>337</v>
      </c>
      <c r="I497" t="s">
        <v>63</v>
      </c>
      <c r="J497">
        <v>5</v>
      </c>
      <c r="K497" t="str">
        <f>HYPERLINK("Gene2855-zp_tree_all.dnd", "Gene2855-tree")</f>
        <v>Gene2855-tree</v>
      </c>
      <c r="L497">
        <v>4</v>
      </c>
      <c r="M497">
        <v>1</v>
      </c>
      <c r="N497">
        <v>4</v>
      </c>
      <c r="O497">
        <v>1</v>
      </c>
      <c r="P497">
        <v>0.2</v>
      </c>
      <c r="Q497" t="s">
        <v>64</v>
      </c>
      <c r="R497" t="s">
        <v>65</v>
      </c>
      <c r="S497" t="s">
        <v>66</v>
      </c>
      <c r="T497" t="s">
        <v>66</v>
      </c>
      <c r="U497">
        <v>0</v>
      </c>
      <c r="V497">
        <v>0</v>
      </c>
      <c r="W497">
        <v>2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1</v>
      </c>
      <c r="AH497">
        <v>0</v>
      </c>
      <c r="AI497">
        <v>5</v>
      </c>
      <c r="AJ497">
        <v>2</v>
      </c>
      <c r="AK497">
        <v>27</v>
      </c>
      <c r="AL497">
        <v>1</v>
      </c>
      <c r="AM497">
        <v>40</v>
      </c>
      <c r="AN497">
        <v>2</v>
      </c>
      <c r="AO497" t="s">
        <v>2786</v>
      </c>
      <c r="AP497" t="s">
        <v>2787</v>
      </c>
      <c r="AQ497">
        <v>0.10100000000000001</v>
      </c>
      <c r="AR497" t="s">
        <v>69</v>
      </c>
      <c r="AS497">
        <v>67</v>
      </c>
      <c r="AT497">
        <v>3</v>
      </c>
      <c r="AU497">
        <v>3.5810000000000002E-2</v>
      </c>
      <c r="AV497">
        <v>-6.13E-3</v>
      </c>
      <c r="AW497">
        <v>0.16111</v>
      </c>
      <c r="AX497">
        <v>-2.8719999999999999E-2</v>
      </c>
      <c r="AY497">
        <v>2.0999999999999999E-3</v>
      </c>
      <c r="AZ497">
        <v>-5.0000000000000001E-4</v>
      </c>
      <c r="BA497">
        <v>1.302E-2</v>
      </c>
      <c r="BB497">
        <v>1</v>
      </c>
      <c r="BC497" t="s">
        <v>70</v>
      </c>
      <c r="BD497">
        <v>0.70399999999999996</v>
      </c>
      <c r="BE497">
        <v>0.61299999999999999</v>
      </c>
      <c r="BF497" t="s">
        <v>71</v>
      </c>
      <c r="BG497">
        <v>0.13807531380753099</v>
      </c>
      <c r="BI497">
        <v>70</v>
      </c>
      <c r="BJ497">
        <v>1.302E-2</v>
      </c>
      <c r="BK497">
        <v>0.13807531380753099</v>
      </c>
    </row>
    <row r="498" spans="1:63">
      <c r="A498">
        <v>2856</v>
      </c>
      <c r="B498" t="s">
        <v>2788</v>
      </c>
      <c r="D498" t="s">
        <v>66</v>
      </c>
      <c r="E498">
        <v>2861843</v>
      </c>
      <c r="F498">
        <v>2862535</v>
      </c>
      <c r="G498" t="s">
        <v>74</v>
      </c>
      <c r="H498">
        <v>231</v>
      </c>
      <c r="I498" t="s">
        <v>106</v>
      </c>
      <c r="J498">
        <v>4</v>
      </c>
      <c r="K498" t="str">
        <f>HYPERLINK("Gene2856-zp_tree_all.dnd", "Gene2856-tree")</f>
        <v>Gene2856-tree</v>
      </c>
      <c r="L498">
        <v>2</v>
      </c>
      <c r="M498">
        <v>2</v>
      </c>
      <c r="N498">
        <v>2</v>
      </c>
      <c r="O498">
        <v>2</v>
      </c>
      <c r="P498">
        <v>0.5</v>
      </c>
      <c r="Q498" t="s">
        <v>124</v>
      </c>
      <c r="R498" t="s">
        <v>124</v>
      </c>
      <c r="S498" t="s">
        <v>66</v>
      </c>
      <c r="T498" t="s">
        <v>66</v>
      </c>
      <c r="U498">
        <v>0</v>
      </c>
      <c r="V498">
        <v>0</v>
      </c>
      <c r="W498">
        <v>7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7</v>
      </c>
      <c r="AH498">
        <v>0</v>
      </c>
      <c r="AI498">
        <v>4</v>
      </c>
      <c r="AJ498">
        <v>0</v>
      </c>
      <c r="AK498">
        <v>32</v>
      </c>
      <c r="AL498">
        <v>7</v>
      </c>
      <c r="AM498">
        <v>0</v>
      </c>
      <c r="AN498">
        <v>0</v>
      </c>
      <c r="AO498" t="s">
        <v>2790</v>
      </c>
      <c r="AP498" t="s">
        <v>68</v>
      </c>
      <c r="AQ498">
        <v>0.52200000000000002</v>
      </c>
      <c r="AR498" t="s">
        <v>69</v>
      </c>
      <c r="AS498">
        <v>32</v>
      </c>
      <c r="AT498">
        <v>7</v>
      </c>
      <c r="AU498">
        <v>2.7660000000000001E-2</v>
      </c>
      <c r="AV498">
        <v>-8.5900000000000004E-3</v>
      </c>
      <c r="AW498">
        <v>0.11032</v>
      </c>
      <c r="AX498">
        <v>-3.4700000000000002E-2</v>
      </c>
      <c r="AY498">
        <v>6.6E-3</v>
      </c>
      <c r="AZ498">
        <v>-2.2200000000000002E-3</v>
      </c>
      <c r="BA498">
        <v>5.987E-2</v>
      </c>
      <c r="BB498">
        <v>1</v>
      </c>
      <c r="BC498" t="s">
        <v>70</v>
      </c>
      <c r="BD498">
        <v>-0.52200000000000002</v>
      </c>
      <c r="BE498">
        <v>-1.036</v>
      </c>
      <c r="BF498" t="s">
        <v>71</v>
      </c>
      <c r="BG498">
        <v>7.7419354838709598E-2</v>
      </c>
      <c r="BI498">
        <v>39</v>
      </c>
      <c r="BJ498">
        <v>5.987E-2</v>
      </c>
      <c r="BK498">
        <v>7.7419354838709598E-2</v>
      </c>
    </row>
    <row r="499" spans="1:63">
      <c r="A499">
        <v>2857</v>
      </c>
      <c r="B499" t="s">
        <v>2791</v>
      </c>
      <c r="D499" t="s">
        <v>66</v>
      </c>
      <c r="E499">
        <v>2862575</v>
      </c>
      <c r="F499">
        <v>2863141</v>
      </c>
      <c r="G499" t="s">
        <v>2793</v>
      </c>
      <c r="H499">
        <v>189</v>
      </c>
      <c r="I499" t="s">
        <v>63</v>
      </c>
      <c r="J499">
        <v>5</v>
      </c>
      <c r="K499" t="str">
        <f>HYPERLINK("Gene2857-zp_tree_all.dnd", "Gene2857-tree")</f>
        <v>Gene2857-tree</v>
      </c>
      <c r="L499">
        <v>3</v>
      </c>
      <c r="M499">
        <v>2</v>
      </c>
      <c r="N499">
        <v>3</v>
      </c>
      <c r="O499">
        <v>2</v>
      </c>
      <c r="P499">
        <v>0.4</v>
      </c>
      <c r="Q499" t="s">
        <v>86</v>
      </c>
      <c r="R499" t="s">
        <v>124</v>
      </c>
      <c r="S499" t="s">
        <v>66</v>
      </c>
      <c r="T499" t="s">
        <v>66</v>
      </c>
      <c r="U499">
        <v>0</v>
      </c>
      <c r="V499">
        <v>0</v>
      </c>
      <c r="W499">
        <v>11</v>
      </c>
      <c r="X499">
        <v>0</v>
      </c>
      <c r="Y499">
        <v>0</v>
      </c>
      <c r="Z499">
        <v>0</v>
      </c>
      <c r="AA499">
        <v>0</v>
      </c>
      <c r="AB499">
        <v>5</v>
      </c>
      <c r="AC499">
        <v>0</v>
      </c>
      <c r="AD499">
        <v>0</v>
      </c>
      <c r="AE499">
        <v>0</v>
      </c>
      <c r="AF499">
        <v>0</v>
      </c>
      <c r="AG499">
        <v>6</v>
      </c>
      <c r="AH499">
        <v>0</v>
      </c>
      <c r="AI499">
        <v>5</v>
      </c>
      <c r="AJ499">
        <v>2</v>
      </c>
      <c r="AK499">
        <v>8</v>
      </c>
      <c r="AL499">
        <v>6</v>
      </c>
      <c r="AM499">
        <v>16</v>
      </c>
      <c r="AN499">
        <v>5</v>
      </c>
      <c r="AO499" t="s">
        <v>2794</v>
      </c>
      <c r="AP499" t="s">
        <v>2795</v>
      </c>
      <c r="AQ499">
        <v>0.44400000000000001</v>
      </c>
      <c r="AR499" t="s">
        <v>69</v>
      </c>
      <c r="AS499">
        <v>24</v>
      </c>
      <c r="AT499">
        <v>11</v>
      </c>
      <c r="AU499">
        <v>3.1390000000000001E-2</v>
      </c>
      <c r="AV499">
        <v>-5.8199999999999997E-3</v>
      </c>
      <c r="AW499">
        <v>0.10586</v>
      </c>
      <c r="AX499">
        <v>-1.985E-2</v>
      </c>
      <c r="AY499">
        <v>1.247E-2</v>
      </c>
      <c r="AZ499">
        <v>-2.7699999999999999E-3</v>
      </c>
      <c r="BA499">
        <v>0.1178</v>
      </c>
      <c r="BB499">
        <v>1</v>
      </c>
      <c r="BC499" t="s">
        <v>70</v>
      </c>
      <c r="BD499">
        <v>0.68</v>
      </c>
      <c r="BE499">
        <v>0.496</v>
      </c>
      <c r="BF499" t="s">
        <v>71</v>
      </c>
      <c r="BG499">
        <v>2.81124497991967E-2</v>
      </c>
      <c r="BI499">
        <v>35</v>
      </c>
      <c r="BJ499">
        <v>0.1178</v>
      </c>
      <c r="BK499">
        <v>2.81124497991967E-2</v>
      </c>
    </row>
    <row r="500" spans="1:63">
      <c r="A500">
        <v>2866</v>
      </c>
      <c r="B500" t="s">
        <v>2798</v>
      </c>
      <c r="D500" t="s">
        <v>66</v>
      </c>
      <c r="E500">
        <v>2874205</v>
      </c>
      <c r="F500">
        <v>2875176</v>
      </c>
      <c r="G500" t="s">
        <v>2800</v>
      </c>
      <c r="H500">
        <v>324</v>
      </c>
      <c r="I500" t="s">
        <v>85</v>
      </c>
      <c r="J500">
        <v>4</v>
      </c>
      <c r="K500" t="str">
        <f>HYPERLINK("Gene2866-zp_tree_all.dnd", "Gene2866-tree")</f>
        <v>Gene2866-tree</v>
      </c>
      <c r="L500">
        <v>1</v>
      </c>
      <c r="M500">
        <v>3</v>
      </c>
      <c r="N500">
        <v>1</v>
      </c>
      <c r="O500">
        <v>3</v>
      </c>
      <c r="P500">
        <v>0.75</v>
      </c>
      <c r="Q500" t="s">
        <v>65</v>
      </c>
      <c r="R500" t="s">
        <v>86</v>
      </c>
      <c r="S500" t="s">
        <v>66</v>
      </c>
      <c r="T500" t="s">
        <v>66</v>
      </c>
      <c r="U500">
        <v>1</v>
      </c>
      <c r="V500">
        <v>2</v>
      </c>
      <c r="W500">
        <v>4</v>
      </c>
      <c r="X500">
        <v>0.33333000000000002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2</v>
      </c>
      <c r="AF500">
        <v>2</v>
      </c>
      <c r="AG500">
        <v>4</v>
      </c>
      <c r="AH500">
        <v>0.33333000000000002</v>
      </c>
      <c r="AI500">
        <v>4</v>
      </c>
      <c r="AJ500">
        <v>1</v>
      </c>
      <c r="AK500">
        <v>44</v>
      </c>
      <c r="AL500">
        <v>6</v>
      </c>
      <c r="AM500">
        <v>3</v>
      </c>
      <c r="AN500">
        <v>0</v>
      </c>
      <c r="AO500" t="s">
        <v>2801</v>
      </c>
      <c r="AP500" t="s">
        <v>68</v>
      </c>
      <c r="AQ500">
        <v>1.0640000000000001</v>
      </c>
      <c r="AR500" t="s">
        <v>69</v>
      </c>
      <c r="AS500">
        <v>47</v>
      </c>
      <c r="AT500">
        <v>6</v>
      </c>
      <c r="AU500">
        <v>2.726E-2</v>
      </c>
      <c r="AV500">
        <v>-6.43E-3</v>
      </c>
      <c r="AW500">
        <v>0.12021999999999999</v>
      </c>
      <c r="AX500">
        <v>-3.1419999999999997E-2</v>
      </c>
      <c r="AY500">
        <v>3.9899999999999996E-3</v>
      </c>
      <c r="AZ500">
        <v>-6.9999999999999999E-4</v>
      </c>
      <c r="BA500">
        <v>3.3210000000000003E-2</v>
      </c>
      <c r="BB500">
        <v>1</v>
      </c>
      <c r="BC500" t="s">
        <v>70</v>
      </c>
      <c r="BD500">
        <v>-0.49299999999999999</v>
      </c>
      <c r="BE500">
        <v>-0.68</v>
      </c>
      <c r="BF500" t="s">
        <v>71</v>
      </c>
      <c r="BG500">
        <v>9.75056689342403E-2</v>
      </c>
      <c r="BI500">
        <v>53</v>
      </c>
      <c r="BJ500">
        <v>3.3210000000000003E-2</v>
      </c>
      <c r="BK500">
        <v>9.75056689342403E-2</v>
      </c>
    </row>
    <row r="501" spans="1:63">
      <c r="A501">
        <v>2869</v>
      </c>
      <c r="B501" t="s">
        <v>2802</v>
      </c>
      <c r="D501" t="s">
        <v>66</v>
      </c>
      <c r="E501">
        <v>2876931</v>
      </c>
      <c r="F501">
        <v>2877758</v>
      </c>
      <c r="G501" t="s">
        <v>2804</v>
      </c>
      <c r="H501">
        <v>276</v>
      </c>
      <c r="I501" t="s">
        <v>63</v>
      </c>
      <c r="J501">
        <v>5</v>
      </c>
      <c r="K501" t="str">
        <f>HYPERLINK("Gene2869-zp_tree_all.dnd", "Gene2869-tree")</f>
        <v>Gene2869-tree</v>
      </c>
      <c r="L501">
        <v>5</v>
      </c>
      <c r="M501">
        <v>0</v>
      </c>
      <c r="N501">
        <v>5</v>
      </c>
      <c r="O501">
        <v>0</v>
      </c>
      <c r="P501">
        <v>0</v>
      </c>
      <c r="Q501" t="s">
        <v>96</v>
      </c>
      <c r="R501" t="s">
        <v>66</v>
      </c>
      <c r="S501" t="s">
        <v>66</v>
      </c>
      <c r="T501" t="s">
        <v>66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5</v>
      </c>
      <c r="AJ501">
        <v>2</v>
      </c>
      <c r="AK501">
        <v>20</v>
      </c>
      <c r="AL501">
        <v>0</v>
      </c>
      <c r="AM501">
        <v>23</v>
      </c>
      <c r="AN501">
        <v>0</v>
      </c>
      <c r="AO501" t="s">
        <v>68</v>
      </c>
      <c r="AP501" t="s">
        <v>68</v>
      </c>
      <c r="AQ501">
        <v>0</v>
      </c>
      <c r="AR501" t="s">
        <v>69</v>
      </c>
      <c r="AS501">
        <v>43</v>
      </c>
      <c r="AT501">
        <v>0</v>
      </c>
      <c r="AU501">
        <v>2.5600000000000001E-2</v>
      </c>
      <c r="AV501">
        <v>-4.4600000000000004E-3</v>
      </c>
      <c r="AW501">
        <v>0.11570999999999999</v>
      </c>
      <c r="AX501">
        <v>-2.0830000000000001E-2</v>
      </c>
      <c r="AY501">
        <v>0</v>
      </c>
      <c r="AZ501">
        <v>0</v>
      </c>
      <c r="BA501">
        <v>0</v>
      </c>
      <c r="BB501">
        <v>1</v>
      </c>
      <c r="BC501" t="s">
        <v>70</v>
      </c>
      <c r="BD501">
        <v>0.78300000000000003</v>
      </c>
      <c r="BE501">
        <v>0.627</v>
      </c>
      <c r="BF501" t="s">
        <v>71</v>
      </c>
      <c r="BG501">
        <v>0.12463768115942001</v>
      </c>
      <c r="BI501">
        <v>43</v>
      </c>
      <c r="BJ501">
        <v>0</v>
      </c>
      <c r="BK501">
        <v>0.12463768115942001</v>
      </c>
    </row>
    <row r="502" spans="1:63">
      <c r="A502">
        <v>2870</v>
      </c>
      <c r="B502" t="s">
        <v>2805</v>
      </c>
      <c r="D502" t="s">
        <v>66</v>
      </c>
      <c r="E502">
        <v>2877769</v>
      </c>
      <c r="F502">
        <v>2879133</v>
      </c>
      <c r="G502" t="s">
        <v>2807</v>
      </c>
      <c r="H502">
        <v>455</v>
      </c>
      <c r="I502" t="s">
        <v>63</v>
      </c>
      <c r="J502">
        <v>5</v>
      </c>
      <c r="K502" t="str">
        <f>HYPERLINK("Gene2870-zp_tree_all.dnd", "Gene2870-tree")</f>
        <v>Gene2870-tree</v>
      </c>
      <c r="L502">
        <v>2</v>
      </c>
      <c r="M502">
        <v>3</v>
      </c>
      <c r="N502">
        <v>2</v>
      </c>
      <c r="O502">
        <v>3</v>
      </c>
      <c r="P502">
        <v>0.6</v>
      </c>
      <c r="Q502" t="s">
        <v>124</v>
      </c>
      <c r="R502" t="s">
        <v>86</v>
      </c>
      <c r="S502" t="s">
        <v>66</v>
      </c>
      <c r="T502" t="s">
        <v>66</v>
      </c>
      <c r="U502">
        <v>1</v>
      </c>
      <c r="V502">
        <v>2</v>
      </c>
      <c r="W502">
        <v>5</v>
      </c>
      <c r="X502">
        <v>0.28571000000000002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2</v>
      </c>
      <c r="AF502">
        <v>2</v>
      </c>
      <c r="AG502">
        <v>5</v>
      </c>
      <c r="AH502">
        <v>0.28571000000000002</v>
      </c>
      <c r="AI502">
        <v>5</v>
      </c>
      <c r="AJ502">
        <v>2</v>
      </c>
      <c r="AK502">
        <v>35</v>
      </c>
      <c r="AL502">
        <v>4</v>
      </c>
      <c r="AM502">
        <v>48</v>
      </c>
      <c r="AN502">
        <v>4</v>
      </c>
      <c r="AO502" t="s">
        <v>2808</v>
      </c>
      <c r="AP502" t="s">
        <v>2809</v>
      </c>
      <c r="AQ502">
        <v>0.33900000000000002</v>
      </c>
      <c r="AR502" t="s">
        <v>69</v>
      </c>
      <c r="AS502">
        <v>83</v>
      </c>
      <c r="AT502">
        <v>8</v>
      </c>
      <c r="AU502">
        <v>3.2750000000000001E-2</v>
      </c>
      <c r="AV502">
        <v>-5.7000000000000002E-3</v>
      </c>
      <c r="AW502">
        <v>0.15412999999999999</v>
      </c>
      <c r="AX502">
        <v>-2.8170000000000001E-2</v>
      </c>
      <c r="AY502">
        <v>3.7699999999999999E-3</v>
      </c>
      <c r="AZ502">
        <v>-7.1000000000000002E-4</v>
      </c>
      <c r="BA502">
        <v>2.4490000000000001E-2</v>
      </c>
      <c r="BB502">
        <v>1</v>
      </c>
      <c r="BC502" t="s">
        <v>70</v>
      </c>
      <c r="BD502">
        <v>0.92600000000000005</v>
      </c>
      <c r="BE502">
        <v>0.41099999999999998</v>
      </c>
      <c r="BF502" t="s">
        <v>71</v>
      </c>
      <c r="BG502">
        <v>0.14808652246256199</v>
      </c>
      <c r="BI502">
        <v>91</v>
      </c>
      <c r="BJ502">
        <v>2.4490000000000001E-2</v>
      </c>
      <c r="BK502">
        <v>0.14808652246256199</v>
      </c>
    </row>
    <row r="503" spans="1:63">
      <c r="A503">
        <v>2875</v>
      </c>
      <c r="B503" t="s">
        <v>2810</v>
      </c>
      <c r="D503" t="s">
        <v>66</v>
      </c>
      <c r="E503">
        <v>2884784</v>
      </c>
      <c r="F503">
        <v>2886043</v>
      </c>
      <c r="G503" t="s">
        <v>2812</v>
      </c>
      <c r="H503">
        <v>420</v>
      </c>
      <c r="I503" t="s">
        <v>63</v>
      </c>
      <c r="J503">
        <v>5</v>
      </c>
      <c r="K503" t="str">
        <f>HYPERLINK("Gene2875-zp_tree_all.dnd", "Gene2875-tree")</f>
        <v>Gene2875-tree</v>
      </c>
      <c r="L503">
        <v>5</v>
      </c>
      <c r="M503">
        <v>0</v>
      </c>
      <c r="N503">
        <v>5</v>
      </c>
      <c r="O503">
        <v>0</v>
      </c>
      <c r="P503">
        <v>0</v>
      </c>
      <c r="Q503" t="s">
        <v>96</v>
      </c>
      <c r="R503" t="s">
        <v>66</v>
      </c>
      <c r="S503" t="s">
        <v>66</v>
      </c>
      <c r="T503" t="s">
        <v>66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5</v>
      </c>
      <c r="AJ503">
        <v>2</v>
      </c>
      <c r="AK503">
        <v>25</v>
      </c>
      <c r="AL503">
        <v>0</v>
      </c>
      <c r="AM503">
        <v>36</v>
      </c>
      <c r="AN503">
        <v>1</v>
      </c>
      <c r="AO503" t="s">
        <v>68</v>
      </c>
      <c r="AP503" t="s">
        <v>2813</v>
      </c>
      <c r="AQ503">
        <v>0.74399999999999999</v>
      </c>
      <c r="AR503" t="s">
        <v>69</v>
      </c>
      <c r="AS503">
        <v>61</v>
      </c>
      <c r="AT503">
        <v>1</v>
      </c>
      <c r="AU503">
        <v>2.5080000000000002E-2</v>
      </c>
      <c r="AV503">
        <v>-4.7400000000000003E-3</v>
      </c>
      <c r="AW503">
        <v>0.12155000000000001</v>
      </c>
      <c r="AX503">
        <v>-2.3539999999999998E-2</v>
      </c>
      <c r="AY503">
        <v>6.2E-4</v>
      </c>
      <c r="AZ503">
        <v>-1.4999999999999999E-4</v>
      </c>
      <c r="BA503">
        <v>5.0600000000000003E-3</v>
      </c>
      <c r="BB503">
        <v>1</v>
      </c>
      <c r="BC503" t="s">
        <v>70</v>
      </c>
      <c r="BD503">
        <v>0.73499999999999999</v>
      </c>
      <c r="BE503">
        <v>0.47299999999999998</v>
      </c>
      <c r="BF503" t="s">
        <v>71</v>
      </c>
      <c r="BG503">
        <v>0.106463878326996</v>
      </c>
      <c r="BI503">
        <v>62</v>
      </c>
      <c r="BJ503">
        <v>5.0600000000000003E-3</v>
      </c>
      <c r="BK503">
        <v>0.106463878326996</v>
      </c>
    </row>
    <row r="504" spans="1:63">
      <c r="A504">
        <v>2876</v>
      </c>
      <c r="B504" t="s">
        <v>2814</v>
      </c>
      <c r="D504" t="s">
        <v>66</v>
      </c>
      <c r="E504">
        <v>2886318</v>
      </c>
      <c r="F504">
        <v>2887589</v>
      </c>
      <c r="G504" t="s">
        <v>2816</v>
      </c>
      <c r="H504">
        <v>424</v>
      </c>
      <c r="I504" t="s">
        <v>63</v>
      </c>
      <c r="J504">
        <v>5</v>
      </c>
      <c r="K504" t="str">
        <f>HYPERLINK("Gene2876-zp_tree_all.dnd", "Gene2876-tree")</f>
        <v>Gene2876-tree</v>
      </c>
      <c r="L504">
        <v>2</v>
      </c>
      <c r="M504">
        <v>3</v>
      </c>
      <c r="N504">
        <v>2</v>
      </c>
      <c r="O504">
        <v>3</v>
      </c>
      <c r="P504">
        <v>0.6</v>
      </c>
      <c r="Q504" t="s">
        <v>124</v>
      </c>
      <c r="R504" t="s">
        <v>86</v>
      </c>
      <c r="S504" t="s">
        <v>66</v>
      </c>
      <c r="T504" t="s">
        <v>66</v>
      </c>
      <c r="U504">
        <v>0</v>
      </c>
      <c r="V504">
        <v>0</v>
      </c>
      <c r="W504">
        <v>9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8</v>
      </c>
      <c r="AH504">
        <v>0</v>
      </c>
      <c r="AI504">
        <v>5</v>
      </c>
      <c r="AJ504">
        <v>2</v>
      </c>
      <c r="AK504">
        <v>41</v>
      </c>
      <c r="AL504">
        <v>7</v>
      </c>
      <c r="AM504">
        <v>10</v>
      </c>
      <c r="AN504">
        <v>3</v>
      </c>
      <c r="AO504" t="s">
        <v>2817</v>
      </c>
      <c r="AP504" t="s">
        <v>2818</v>
      </c>
      <c r="AQ504">
        <v>0.93300000000000005</v>
      </c>
      <c r="AR504" t="s">
        <v>69</v>
      </c>
      <c r="AS504">
        <v>51</v>
      </c>
      <c r="AT504">
        <v>10</v>
      </c>
      <c r="AU504">
        <v>1.9970000000000002E-2</v>
      </c>
      <c r="AV504">
        <v>-2.1099999999999999E-3</v>
      </c>
      <c r="AW504">
        <v>7.9329999999999998E-2</v>
      </c>
      <c r="AX504">
        <v>-8.0400000000000003E-3</v>
      </c>
      <c r="AY504">
        <v>4.64E-3</v>
      </c>
      <c r="AZ504">
        <v>-7.6000000000000004E-4</v>
      </c>
      <c r="BA504">
        <v>5.8549999999999998E-2</v>
      </c>
      <c r="BB504">
        <v>1</v>
      </c>
      <c r="BC504" t="s">
        <v>70</v>
      </c>
      <c r="BD504">
        <v>-0.152</v>
      </c>
      <c r="BE504">
        <v>-0.26800000000000002</v>
      </c>
      <c r="BF504" t="s">
        <v>71</v>
      </c>
      <c r="BG504">
        <v>0.140151515151515</v>
      </c>
      <c r="BI504">
        <v>61</v>
      </c>
      <c r="BJ504">
        <v>5.8549999999999998E-2</v>
      </c>
      <c r="BK504">
        <v>0.140151515151515</v>
      </c>
    </row>
    <row r="505" spans="1:63">
      <c r="A505">
        <v>2878</v>
      </c>
      <c r="B505" t="s">
        <v>2819</v>
      </c>
      <c r="D505" t="s">
        <v>66</v>
      </c>
      <c r="E505">
        <v>2888943</v>
      </c>
      <c r="F505">
        <v>2889539</v>
      </c>
      <c r="G505" t="s">
        <v>2821</v>
      </c>
      <c r="H505">
        <v>199</v>
      </c>
      <c r="I505" t="s">
        <v>85</v>
      </c>
      <c r="J505">
        <v>4</v>
      </c>
      <c r="K505" t="str">
        <f>HYPERLINK("Gene2878-zp_tree_all.dnd", "Gene2878-tree")</f>
        <v>Gene2878-tree</v>
      </c>
      <c r="L505">
        <v>1</v>
      </c>
      <c r="M505">
        <v>3</v>
      </c>
      <c r="N505">
        <v>1</v>
      </c>
      <c r="O505">
        <v>3</v>
      </c>
      <c r="P505">
        <v>0.75</v>
      </c>
      <c r="Q505" t="s">
        <v>65</v>
      </c>
      <c r="R505" t="s">
        <v>86</v>
      </c>
      <c r="S505" t="s">
        <v>66</v>
      </c>
      <c r="T505" t="s">
        <v>66</v>
      </c>
      <c r="U505">
        <v>0</v>
      </c>
      <c r="V505">
        <v>0</v>
      </c>
      <c r="W505">
        <v>9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8</v>
      </c>
      <c r="AH505">
        <v>0</v>
      </c>
      <c r="AI505">
        <v>4</v>
      </c>
      <c r="AJ505">
        <v>1</v>
      </c>
      <c r="AK505">
        <v>29</v>
      </c>
      <c r="AL505">
        <v>8</v>
      </c>
      <c r="AM505">
        <v>2</v>
      </c>
      <c r="AN505">
        <v>1</v>
      </c>
      <c r="AO505" t="s">
        <v>2822</v>
      </c>
      <c r="AP505" t="s">
        <v>2823</v>
      </c>
      <c r="AQ505">
        <v>0.873</v>
      </c>
      <c r="AR505" t="s">
        <v>69</v>
      </c>
      <c r="AS505">
        <v>31</v>
      </c>
      <c r="AT505">
        <v>9</v>
      </c>
      <c r="AU505">
        <v>3.2379999999999999E-2</v>
      </c>
      <c r="AV505">
        <v>-7.3899999999999999E-3</v>
      </c>
      <c r="AW505">
        <v>0.13342000000000001</v>
      </c>
      <c r="AX505">
        <v>-3.431E-2</v>
      </c>
      <c r="AY505">
        <v>9.9500000000000005E-3</v>
      </c>
      <c r="AZ505">
        <v>-1.9400000000000001E-3</v>
      </c>
      <c r="BA505">
        <v>7.4550000000000005E-2</v>
      </c>
      <c r="BB505">
        <v>1</v>
      </c>
      <c r="BC505" t="s">
        <v>70</v>
      </c>
      <c r="BD505">
        <v>-0.16</v>
      </c>
      <c r="BE505">
        <v>-0.68799999999999994</v>
      </c>
      <c r="BF505" t="s">
        <v>71</v>
      </c>
      <c r="BG505">
        <v>0.08</v>
      </c>
      <c r="BI505">
        <v>40</v>
      </c>
      <c r="BJ505">
        <v>7.4550000000000005E-2</v>
      </c>
      <c r="BK505">
        <v>0.08</v>
      </c>
    </row>
    <row r="506" spans="1:63">
      <c r="A506">
        <v>2879</v>
      </c>
      <c r="B506" t="s">
        <v>2824</v>
      </c>
      <c r="D506" t="s">
        <v>66</v>
      </c>
      <c r="E506">
        <v>2889555</v>
      </c>
      <c r="F506">
        <v>2890970</v>
      </c>
      <c r="G506" t="s">
        <v>2826</v>
      </c>
      <c r="H506">
        <v>472</v>
      </c>
      <c r="I506" t="s">
        <v>63</v>
      </c>
      <c r="J506">
        <v>5</v>
      </c>
      <c r="K506" t="str">
        <f>HYPERLINK("Gene2879-zp_tree_all.dnd", "Gene2879-tree")</f>
        <v>Gene2879-tree</v>
      </c>
      <c r="L506">
        <v>2</v>
      </c>
      <c r="M506">
        <v>3</v>
      </c>
      <c r="N506">
        <v>2</v>
      </c>
      <c r="O506">
        <v>3</v>
      </c>
      <c r="P506">
        <v>0.6</v>
      </c>
      <c r="Q506" t="s">
        <v>124</v>
      </c>
      <c r="R506" t="s">
        <v>86</v>
      </c>
      <c r="S506" t="s">
        <v>66</v>
      </c>
      <c r="T506" t="s">
        <v>66</v>
      </c>
      <c r="U506">
        <v>1</v>
      </c>
      <c r="V506">
        <v>2</v>
      </c>
      <c r="W506">
        <v>7</v>
      </c>
      <c r="X506">
        <v>0.22222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2</v>
      </c>
      <c r="AF506">
        <v>2</v>
      </c>
      <c r="AG506">
        <v>7</v>
      </c>
      <c r="AH506">
        <v>0.22222</v>
      </c>
      <c r="AI506">
        <v>5</v>
      </c>
      <c r="AJ506">
        <v>2</v>
      </c>
      <c r="AK506">
        <v>42</v>
      </c>
      <c r="AL506">
        <v>7</v>
      </c>
      <c r="AM506">
        <v>48</v>
      </c>
      <c r="AN506">
        <v>2</v>
      </c>
      <c r="AO506" t="s">
        <v>2827</v>
      </c>
      <c r="AP506" t="s">
        <v>2828</v>
      </c>
      <c r="AQ506">
        <v>1.0960000000000001</v>
      </c>
      <c r="AR506" t="s">
        <v>69</v>
      </c>
      <c r="AS506">
        <v>90</v>
      </c>
      <c r="AT506">
        <v>9</v>
      </c>
      <c r="AU506">
        <v>3.397E-2</v>
      </c>
      <c r="AV506">
        <v>-5.79E-3</v>
      </c>
      <c r="AW506">
        <v>0.15816</v>
      </c>
      <c r="AX506">
        <v>-2.8459999999999999E-2</v>
      </c>
      <c r="AY506">
        <v>3.6600000000000001E-3</v>
      </c>
      <c r="AZ506">
        <v>-6.8999999999999997E-4</v>
      </c>
      <c r="BA506">
        <v>2.3140000000000001E-2</v>
      </c>
      <c r="BB506">
        <v>1</v>
      </c>
      <c r="BC506" t="s">
        <v>70</v>
      </c>
      <c r="BD506">
        <v>0.67800000000000005</v>
      </c>
      <c r="BE506">
        <v>0.35099999999999998</v>
      </c>
      <c r="BF506" t="s">
        <v>71</v>
      </c>
      <c r="BG506">
        <v>0.125373134328358</v>
      </c>
      <c r="BI506">
        <v>99</v>
      </c>
      <c r="BJ506">
        <v>2.3140000000000001E-2</v>
      </c>
      <c r="BK506">
        <v>0.125373134328358</v>
      </c>
    </row>
    <row r="507" spans="1:63">
      <c r="A507">
        <v>2879</v>
      </c>
      <c r="B507" t="s">
        <v>2824</v>
      </c>
      <c r="D507" t="s">
        <v>66</v>
      </c>
      <c r="E507">
        <v>2889555</v>
      </c>
      <c r="F507">
        <v>2890970</v>
      </c>
      <c r="G507" t="s">
        <v>2826</v>
      </c>
      <c r="H507">
        <v>472</v>
      </c>
      <c r="I507" t="s">
        <v>63</v>
      </c>
      <c r="J507">
        <v>5</v>
      </c>
      <c r="K507" t="str">
        <f>HYPERLINK("Gene2879-zp_tree_all.dnd", "Gene2879-tree")</f>
        <v>Gene2879-tree</v>
      </c>
      <c r="L507">
        <v>2</v>
      </c>
      <c r="M507">
        <v>3</v>
      </c>
      <c r="N507">
        <v>2</v>
      </c>
      <c r="O507">
        <v>3</v>
      </c>
      <c r="P507">
        <v>0.6</v>
      </c>
      <c r="Q507" t="s">
        <v>124</v>
      </c>
      <c r="R507" t="s">
        <v>86</v>
      </c>
      <c r="S507" t="s">
        <v>66</v>
      </c>
      <c r="T507" t="s">
        <v>66</v>
      </c>
      <c r="U507">
        <v>1</v>
      </c>
      <c r="V507">
        <v>2</v>
      </c>
      <c r="W507">
        <v>7</v>
      </c>
      <c r="X507">
        <v>0.22222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2</v>
      </c>
      <c r="AF507">
        <v>2</v>
      </c>
      <c r="AG507">
        <v>7</v>
      </c>
      <c r="AH507">
        <v>0.22222</v>
      </c>
      <c r="AI507">
        <v>5</v>
      </c>
      <c r="AJ507">
        <v>2</v>
      </c>
      <c r="AK507">
        <v>42</v>
      </c>
      <c r="AL507">
        <v>7</v>
      </c>
      <c r="AM507">
        <v>48</v>
      </c>
      <c r="AN507">
        <v>2</v>
      </c>
      <c r="AO507" t="s">
        <v>2827</v>
      </c>
      <c r="AP507" t="s">
        <v>2828</v>
      </c>
      <c r="AQ507">
        <v>1.0960000000000001</v>
      </c>
      <c r="AR507" t="s">
        <v>69</v>
      </c>
      <c r="AS507">
        <v>90</v>
      </c>
      <c r="AT507">
        <v>9</v>
      </c>
      <c r="AU507">
        <v>3.397E-2</v>
      </c>
      <c r="AV507">
        <v>-5.79E-3</v>
      </c>
      <c r="AW507">
        <v>0.15816</v>
      </c>
      <c r="AX507">
        <v>-2.8459999999999999E-2</v>
      </c>
      <c r="AY507">
        <v>3.6600000000000001E-3</v>
      </c>
      <c r="AZ507">
        <v>-6.8999999999999997E-4</v>
      </c>
      <c r="BA507">
        <v>2.3140000000000001E-2</v>
      </c>
      <c r="BB507">
        <v>1</v>
      </c>
      <c r="BC507" t="s">
        <v>70</v>
      </c>
      <c r="BD507">
        <v>0.67800000000000005</v>
      </c>
      <c r="BE507">
        <v>0.35099999999999998</v>
      </c>
      <c r="BF507" t="s">
        <v>71</v>
      </c>
      <c r="BG507">
        <v>0.125373134328358</v>
      </c>
      <c r="BI507">
        <v>99</v>
      </c>
      <c r="BJ507">
        <v>2.3140000000000001E-2</v>
      </c>
      <c r="BK507">
        <v>0.125373134328358</v>
      </c>
    </row>
    <row r="508" spans="1:63">
      <c r="A508">
        <v>2882</v>
      </c>
      <c r="B508" t="s">
        <v>2829</v>
      </c>
      <c r="D508" t="s">
        <v>66</v>
      </c>
      <c r="E508">
        <v>2893684</v>
      </c>
      <c r="F508">
        <v>2894709</v>
      </c>
      <c r="G508" t="s">
        <v>2831</v>
      </c>
      <c r="H508">
        <v>342</v>
      </c>
      <c r="I508" t="s">
        <v>106</v>
      </c>
      <c r="J508">
        <v>4</v>
      </c>
      <c r="K508" t="str">
        <f>HYPERLINK("Gene2882-zp_tree_all.dnd", "Gene2882-tree")</f>
        <v>Gene2882-tree</v>
      </c>
      <c r="L508">
        <v>2</v>
      </c>
      <c r="M508">
        <v>2</v>
      </c>
      <c r="N508">
        <v>2</v>
      </c>
      <c r="O508">
        <v>2</v>
      </c>
      <c r="P508">
        <v>0.5</v>
      </c>
      <c r="Q508" t="s">
        <v>124</v>
      </c>
      <c r="R508" t="s">
        <v>124</v>
      </c>
      <c r="S508" t="s">
        <v>66</v>
      </c>
      <c r="T508" t="s">
        <v>66</v>
      </c>
      <c r="U508">
        <v>0</v>
      </c>
      <c r="V508">
        <v>0</v>
      </c>
      <c r="W508">
        <v>2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3</v>
      </c>
      <c r="AH508">
        <v>0</v>
      </c>
      <c r="AI508">
        <v>4</v>
      </c>
      <c r="AJ508">
        <v>1</v>
      </c>
      <c r="AK508">
        <v>53</v>
      </c>
      <c r="AL508">
        <v>3</v>
      </c>
      <c r="AM508">
        <v>6</v>
      </c>
      <c r="AN508">
        <v>0</v>
      </c>
      <c r="AO508" t="s">
        <v>2832</v>
      </c>
      <c r="AP508" t="s">
        <v>68</v>
      </c>
      <c r="AQ508">
        <v>0.66300000000000003</v>
      </c>
      <c r="AR508" t="s">
        <v>69</v>
      </c>
      <c r="AS508">
        <v>59</v>
      </c>
      <c r="AT508">
        <v>3</v>
      </c>
      <c r="AU508">
        <v>3.0380000000000001E-2</v>
      </c>
      <c r="AV508">
        <v>-7.9500000000000005E-3</v>
      </c>
      <c r="AW508">
        <v>0.14532999999999999</v>
      </c>
      <c r="AX508">
        <v>-4.1709999999999997E-2</v>
      </c>
      <c r="AY508">
        <v>1.9E-3</v>
      </c>
      <c r="AZ508">
        <v>-5.0000000000000001E-4</v>
      </c>
      <c r="BA508">
        <v>1.307E-2</v>
      </c>
      <c r="BB508">
        <v>1</v>
      </c>
      <c r="BC508" t="s">
        <v>70</v>
      </c>
      <c r="BD508">
        <v>-0.32900000000000001</v>
      </c>
      <c r="BE508">
        <v>-0.81499999999999995</v>
      </c>
      <c r="BF508" t="s">
        <v>71</v>
      </c>
      <c r="BG508">
        <v>0.13596491228070101</v>
      </c>
      <c r="BI508">
        <v>62</v>
      </c>
      <c r="BJ508">
        <v>1.307E-2</v>
      </c>
      <c r="BK508">
        <v>0.13596491228070101</v>
      </c>
    </row>
    <row r="509" spans="1:63">
      <c r="A509">
        <v>2883</v>
      </c>
      <c r="B509" t="s">
        <v>2833</v>
      </c>
      <c r="D509" t="s">
        <v>66</v>
      </c>
      <c r="E509">
        <v>2894736</v>
      </c>
      <c r="F509">
        <v>2895251</v>
      </c>
      <c r="G509" t="s">
        <v>2835</v>
      </c>
      <c r="H509">
        <v>172</v>
      </c>
      <c r="I509" t="s">
        <v>106</v>
      </c>
      <c r="J509">
        <v>4</v>
      </c>
      <c r="K509" t="str">
        <f>HYPERLINK("Gene2883-zp_tree_all.dnd", "Gene2883-tree")</f>
        <v>Gene2883-tree</v>
      </c>
      <c r="L509">
        <v>2</v>
      </c>
      <c r="M509">
        <v>2</v>
      </c>
      <c r="N509">
        <v>2</v>
      </c>
      <c r="O509">
        <v>2</v>
      </c>
      <c r="P509">
        <v>0.5</v>
      </c>
      <c r="Q509" t="s">
        <v>124</v>
      </c>
      <c r="R509" t="s">
        <v>124</v>
      </c>
      <c r="S509" t="s">
        <v>66</v>
      </c>
      <c r="T509" t="s">
        <v>66</v>
      </c>
      <c r="U509">
        <v>0</v>
      </c>
      <c r="V509">
        <v>0</v>
      </c>
      <c r="W509">
        <v>3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3</v>
      </c>
      <c r="AH509">
        <v>0</v>
      </c>
      <c r="AI509">
        <v>4</v>
      </c>
      <c r="AJ509">
        <v>1</v>
      </c>
      <c r="AK509">
        <v>24</v>
      </c>
      <c r="AL509">
        <v>3</v>
      </c>
      <c r="AM509">
        <v>3</v>
      </c>
      <c r="AN509">
        <v>0</v>
      </c>
      <c r="AO509" t="s">
        <v>2836</v>
      </c>
      <c r="AP509" t="s">
        <v>68</v>
      </c>
      <c r="AQ509">
        <v>0.82199999999999995</v>
      </c>
      <c r="AR509" t="s">
        <v>69</v>
      </c>
      <c r="AS509">
        <v>27</v>
      </c>
      <c r="AT509">
        <v>3</v>
      </c>
      <c r="AU509">
        <v>2.8750000000000001E-2</v>
      </c>
      <c r="AV509">
        <v>-6.5100000000000002E-3</v>
      </c>
      <c r="AW509">
        <v>0.11888</v>
      </c>
      <c r="AX509">
        <v>-2.8479999999999998E-2</v>
      </c>
      <c r="AY509">
        <v>3.8400000000000001E-3</v>
      </c>
      <c r="AZ509">
        <v>-1E-3</v>
      </c>
      <c r="BA509">
        <v>3.2340000000000001E-2</v>
      </c>
      <c r="BB509">
        <v>1</v>
      </c>
      <c r="BC509" t="s">
        <v>70</v>
      </c>
      <c r="BD509">
        <v>-0.29699999999999999</v>
      </c>
      <c r="BE509">
        <v>-0.63500000000000001</v>
      </c>
      <c r="BF509" t="s">
        <v>71</v>
      </c>
      <c r="BG509">
        <v>4.5871559633027498E-2</v>
      </c>
      <c r="BI509">
        <v>30</v>
      </c>
      <c r="BJ509">
        <v>3.2340000000000001E-2</v>
      </c>
      <c r="BK509">
        <v>4.5871559633027498E-2</v>
      </c>
    </row>
    <row r="510" spans="1:63">
      <c r="A510">
        <v>2888</v>
      </c>
      <c r="B510" t="s">
        <v>2837</v>
      </c>
      <c r="D510" t="s">
        <v>66</v>
      </c>
      <c r="E510">
        <v>2900023</v>
      </c>
      <c r="F510">
        <v>2900529</v>
      </c>
      <c r="G510" t="s">
        <v>2839</v>
      </c>
      <c r="H510">
        <v>169</v>
      </c>
      <c r="I510" t="s">
        <v>106</v>
      </c>
      <c r="J510">
        <v>4</v>
      </c>
      <c r="K510" t="str">
        <f>HYPERLINK("Gene2888-zp_tree_all.dnd", "Gene2888-tree")</f>
        <v>Gene2888-tree</v>
      </c>
      <c r="L510">
        <v>0</v>
      </c>
      <c r="M510">
        <v>4</v>
      </c>
      <c r="N510">
        <v>0</v>
      </c>
      <c r="O510">
        <v>4</v>
      </c>
      <c r="P510">
        <v>1</v>
      </c>
      <c r="Q510" t="s">
        <v>66</v>
      </c>
      <c r="R510" t="s">
        <v>64</v>
      </c>
      <c r="S510" t="s">
        <v>66</v>
      </c>
      <c r="T510" t="s">
        <v>66</v>
      </c>
      <c r="U510">
        <v>2</v>
      </c>
      <c r="V510">
        <v>4</v>
      </c>
      <c r="W510">
        <v>6</v>
      </c>
      <c r="X510">
        <v>0.4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2</v>
      </c>
      <c r="AE510">
        <v>2</v>
      </c>
      <c r="AF510">
        <v>4</v>
      </c>
      <c r="AG510">
        <v>6</v>
      </c>
      <c r="AH510">
        <v>0.4</v>
      </c>
      <c r="AI510">
        <v>4</v>
      </c>
      <c r="AJ510">
        <v>1</v>
      </c>
      <c r="AK510">
        <v>19</v>
      </c>
      <c r="AL510">
        <v>10</v>
      </c>
      <c r="AM510">
        <v>1</v>
      </c>
      <c r="AN510">
        <v>0</v>
      </c>
      <c r="AO510" t="s">
        <v>2840</v>
      </c>
      <c r="AP510" t="s">
        <v>68</v>
      </c>
      <c r="AQ510">
        <v>1.278</v>
      </c>
      <c r="AR510" t="s">
        <v>69</v>
      </c>
      <c r="AS510">
        <v>20</v>
      </c>
      <c r="AT510">
        <v>10</v>
      </c>
      <c r="AU510">
        <v>2.9260000000000001E-2</v>
      </c>
      <c r="AV510">
        <v>-6.0899999999999999E-3</v>
      </c>
      <c r="AW510">
        <v>9.2359999999999998E-2</v>
      </c>
      <c r="AX510">
        <v>-1.9539999999999998E-2</v>
      </c>
      <c r="AY510">
        <v>1.2149999999999999E-2</v>
      </c>
      <c r="AZ510">
        <v>-2.9399999999999999E-3</v>
      </c>
      <c r="BA510">
        <v>0.13159000000000001</v>
      </c>
      <c r="BB510">
        <v>1</v>
      </c>
      <c r="BC510" t="s">
        <v>70</v>
      </c>
      <c r="BD510">
        <v>-0.64300000000000002</v>
      </c>
      <c r="BE510">
        <v>-0.64300000000000002</v>
      </c>
      <c r="BF510" t="s">
        <v>71</v>
      </c>
      <c r="BG510">
        <v>9.6000000000000002E-2</v>
      </c>
      <c r="BI510">
        <v>30</v>
      </c>
      <c r="BJ510">
        <v>0.13159000000000001</v>
      </c>
      <c r="BK510">
        <v>9.6000000000000002E-2</v>
      </c>
    </row>
    <row r="511" spans="1:63">
      <c r="A511">
        <v>2893</v>
      </c>
      <c r="B511" t="s">
        <v>2841</v>
      </c>
      <c r="D511" t="s">
        <v>66</v>
      </c>
      <c r="E511">
        <v>2904046</v>
      </c>
      <c r="F511">
        <v>2904483</v>
      </c>
      <c r="G511" t="s">
        <v>787</v>
      </c>
      <c r="H511">
        <v>146</v>
      </c>
      <c r="I511" t="s">
        <v>63</v>
      </c>
      <c r="J511">
        <v>5</v>
      </c>
      <c r="K511" t="str">
        <f>HYPERLINK("Gene2893-zp_tree_all.dnd", "Gene2893-tree")</f>
        <v>Gene2893-tree</v>
      </c>
      <c r="L511">
        <v>4</v>
      </c>
      <c r="M511">
        <v>1</v>
      </c>
      <c r="N511">
        <v>4</v>
      </c>
      <c r="O511">
        <v>1</v>
      </c>
      <c r="P511">
        <v>0.2</v>
      </c>
      <c r="Q511" t="s">
        <v>64</v>
      </c>
      <c r="R511" t="s">
        <v>65</v>
      </c>
      <c r="S511" t="s">
        <v>66</v>
      </c>
      <c r="T511" t="s">
        <v>66</v>
      </c>
      <c r="U511">
        <v>0</v>
      </c>
      <c r="V511">
        <v>0</v>
      </c>
      <c r="W511">
        <v>2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1</v>
      </c>
      <c r="AH511">
        <v>0</v>
      </c>
      <c r="AI511">
        <v>4</v>
      </c>
      <c r="AJ511">
        <v>1</v>
      </c>
      <c r="AK511">
        <v>8</v>
      </c>
      <c r="AL511">
        <v>1</v>
      </c>
      <c r="AM511">
        <v>7</v>
      </c>
      <c r="AN511">
        <v>1</v>
      </c>
      <c r="AO511" t="s">
        <v>2843</v>
      </c>
      <c r="AP511" t="s">
        <v>2844</v>
      </c>
      <c r="AQ511">
        <v>6.5000000000000002E-2</v>
      </c>
      <c r="AR511" t="s">
        <v>69</v>
      </c>
      <c r="AS511">
        <v>15</v>
      </c>
      <c r="AT511">
        <v>2</v>
      </c>
      <c r="AU511">
        <v>1.9179999999999999E-2</v>
      </c>
      <c r="AV511">
        <v>-3.5400000000000002E-3</v>
      </c>
      <c r="AW511">
        <v>8.4229999999999999E-2</v>
      </c>
      <c r="AX511">
        <v>-1.5480000000000001E-2</v>
      </c>
      <c r="AY511">
        <v>2.9199999999999999E-3</v>
      </c>
      <c r="AZ511">
        <v>-7.2000000000000005E-4</v>
      </c>
      <c r="BA511">
        <v>3.4680000000000002E-2</v>
      </c>
      <c r="BB511">
        <v>1</v>
      </c>
      <c r="BC511" t="s">
        <v>70</v>
      </c>
      <c r="BD511">
        <v>0.216</v>
      </c>
      <c r="BE511">
        <v>0.216</v>
      </c>
      <c r="BF511" t="s">
        <v>71</v>
      </c>
      <c r="BG511">
        <v>0.109947643979057</v>
      </c>
      <c r="BI511">
        <v>17</v>
      </c>
      <c r="BJ511">
        <v>3.4680000000000002E-2</v>
      </c>
      <c r="BK511">
        <v>0.109947643979057</v>
      </c>
    </row>
    <row r="512" spans="1:63">
      <c r="A512">
        <v>2897</v>
      </c>
      <c r="B512" t="s">
        <v>2848</v>
      </c>
      <c r="D512" t="s">
        <v>66</v>
      </c>
      <c r="E512">
        <v>2906338</v>
      </c>
      <c r="F512">
        <v>2908095</v>
      </c>
      <c r="G512" t="s">
        <v>2850</v>
      </c>
      <c r="H512">
        <v>586</v>
      </c>
      <c r="I512" t="s">
        <v>63</v>
      </c>
      <c r="J512">
        <v>5</v>
      </c>
      <c r="K512" t="str">
        <f>HYPERLINK("Gene2897-zp_tree_all.dnd", "Gene2897-tree")</f>
        <v>Gene2897-tree</v>
      </c>
      <c r="L512">
        <v>3</v>
      </c>
      <c r="M512">
        <v>2</v>
      </c>
      <c r="N512">
        <v>3</v>
      </c>
      <c r="O512">
        <v>2</v>
      </c>
      <c r="P512">
        <v>0.4</v>
      </c>
      <c r="Q512" t="s">
        <v>86</v>
      </c>
      <c r="R512" t="s">
        <v>124</v>
      </c>
      <c r="S512" t="s">
        <v>66</v>
      </c>
      <c r="T512" t="s">
        <v>66</v>
      </c>
      <c r="U512">
        <v>0</v>
      </c>
      <c r="V512">
        <v>0</v>
      </c>
      <c r="W512">
        <v>3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E512">
        <v>0</v>
      </c>
      <c r="AF512">
        <v>0</v>
      </c>
      <c r="AG512">
        <v>2</v>
      </c>
      <c r="AH512">
        <v>0</v>
      </c>
      <c r="AI512">
        <v>5</v>
      </c>
      <c r="AJ512">
        <v>2</v>
      </c>
      <c r="AK512">
        <v>40</v>
      </c>
      <c r="AL512">
        <v>2</v>
      </c>
      <c r="AM512">
        <v>67</v>
      </c>
      <c r="AN512">
        <v>1</v>
      </c>
      <c r="AO512" t="s">
        <v>2851</v>
      </c>
      <c r="AP512" t="s">
        <v>2852</v>
      </c>
      <c r="AQ512">
        <v>0.745</v>
      </c>
      <c r="AR512" t="s">
        <v>69</v>
      </c>
      <c r="AS512">
        <v>107</v>
      </c>
      <c r="AT512">
        <v>3</v>
      </c>
      <c r="AU512">
        <v>3.1289999999999998E-2</v>
      </c>
      <c r="AV512">
        <v>-5.4299999999999999E-3</v>
      </c>
      <c r="AW512">
        <v>0.15129999999999999</v>
      </c>
      <c r="AX512">
        <v>-2.759E-2</v>
      </c>
      <c r="AY512">
        <v>1.0300000000000001E-3</v>
      </c>
      <c r="AZ512">
        <v>-1.9000000000000001E-4</v>
      </c>
      <c r="BA512">
        <v>6.8399999999999997E-3</v>
      </c>
      <c r="BB512">
        <v>1</v>
      </c>
      <c r="BC512" t="s">
        <v>70</v>
      </c>
      <c r="BD512">
        <v>0.93799999999999994</v>
      </c>
      <c r="BE512">
        <v>0.503</v>
      </c>
      <c r="BF512" t="s">
        <v>71</v>
      </c>
      <c r="BG512">
        <v>0.11943793911007</v>
      </c>
      <c r="BI512">
        <v>110</v>
      </c>
      <c r="BJ512">
        <v>6.8399999999999997E-3</v>
      </c>
      <c r="BK512">
        <v>0.11943793911007</v>
      </c>
    </row>
    <row r="513" spans="1:63">
      <c r="A513">
        <v>2898</v>
      </c>
      <c r="B513" t="s">
        <v>2853</v>
      </c>
      <c r="D513" t="s">
        <v>66</v>
      </c>
      <c r="E513">
        <v>2908132</v>
      </c>
      <c r="F513">
        <v>2908737</v>
      </c>
      <c r="G513" t="s">
        <v>2855</v>
      </c>
      <c r="H513">
        <v>202</v>
      </c>
      <c r="I513" t="s">
        <v>63</v>
      </c>
      <c r="J513">
        <v>5</v>
      </c>
      <c r="K513" t="str">
        <f>HYPERLINK("Gene2898-zp_tree_all.dnd", "Gene2898-tree")</f>
        <v>Gene2898-tree</v>
      </c>
      <c r="L513">
        <v>5</v>
      </c>
      <c r="M513">
        <v>0</v>
      </c>
      <c r="N513">
        <v>5</v>
      </c>
      <c r="O513">
        <v>0</v>
      </c>
      <c r="P513">
        <v>0</v>
      </c>
      <c r="Q513" t="s">
        <v>96</v>
      </c>
      <c r="R513" t="s">
        <v>66</v>
      </c>
      <c r="S513" t="s">
        <v>66</v>
      </c>
      <c r="T513" t="s">
        <v>66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4</v>
      </c>
      <c r="AJ513">
        <v>2</v>
      </c>
      <c r="AK513">
        <v>7</v>
      </c>
      <c r="AL513">
        <v>0</v>
      </c>
      <c r="AM513">
        <v>14</v>
      </c>
      <c r="AN513">
        <v>0</v>
      </c>
      <c r="AO513" t="s">
        <v>68</v>
      </c>
      <c r="AP513" t="s">
        <v>68</v>
      </c>
      <c r="AQ513">
        <v>0</v>
      </c>
      <c r="AR513" t="s">
        <v>69</v>
      </c>
      <c r="AS513">
        <v>21</v>
      </c>
      <c r="AT513">
        <v>0</v>
      </c>
      <c r="AU513">
        <v>1.6920000000000001E-2</v>
      </c>
      <c r="AV513">
        <v>-2.33E-3</v>
      </c>
      <c r="AW513">
        <v>7.6369999999999993E-2</v>
      </c>
      <c r="AX513">
        <v>-1.0840000000000001E-2</v>
      </c>
      <c r="AY513">
        <v>0</v>
      </c>
      <c r="AZ513">
        <v>0</v>
      </c>
      <c r="BA513">
        <v>0</v>
      </c>
      <c r="BB513">
        <v>1</v>
      </c>
      <c r="BC513" t="s">
        <v>70</v>
      </c>
      <c r="BD513">
        <v>1.33</v>
      </c>
      <c r="BE513">
        <v>0.98899999999999999</v>
      </c>
      <c r="BF513" t="s">
        <v>71</v>
      </c>
      <c r="BG513">
        <v>1.1406844106463801E-2</v>
      </c>
      <c r="BI513">
        <v>21</v>
      </c>
      <c r="BJ513">
        <v>0</v>
      </c>
      <c r="BK513">
        <v>1.1406844106463801E-2</v>
      </c>
    </row>
    <row r="514" spans="1:63">
      <c r="A514">
        <v>2905</v>
      </c>
      <c r="B514" t="s">
        <v>2861</v>
      </c>
      <c r="D514" t="s">
        <v>66</v>
      </c>
      <c r="E514">
        <v>2916381</v>
      </c>
      <c r="F514">
        <v>2917151</v>
      </c>
      <c r="G514" t="s">
        <v>2863</v>
      </c>
      <c r="H514">
        <v>257</v>
      </c>
      <c r="I514" t="s">
        <v>63</v>
      </c>
      <c r="J514">
        <v>5</v>
      </c>
      <c r="K514" t="str">
        <f>HYPERLINK("Gene2905-zp_tree_all.dnd", "Gene2905-tree")</f>
        <v>Gene2905-tree</v>
      </c>
      <c r="L514">
        <v>3</v>
      </c>
      <c r="M514">
        <v>2</v>
      </c>
      <c r="N514">
        <v>3</v>
      </c>
      <c r="O514">
        <v>2</v>
      </c>
      <c r="P514">
        <v>0.4</v>
      </c>
      <c r="Q514" t="s">
        <v>86</v>
      </c>
      <c r="R514" t="s">
        <v>124</v>
      </c>
      <c r="S514" t="s">
        <v>66</v>
      </c>
      <c r="T514" t="s">
        <v>66</v>
      </c>
      <c r="U514">
        <v>0</v>
      </c>
      <c r="V514">
        <v>0</v>
      </c>
      <c r="W514">
        <v>5</v>
      </c>
      <c r="X514">
        <v>0</v>
      </c>
      <c r="Y514">
        <v>0</v>
      </c>
      <c r="Z514">
        <v>0</v>
      </c>
      <c r="AA514">
        <v>0</v>
      </c>
      <c r="AB514">
        <v>3</v>
      </c>
      <c r="AC514">
        <v>0</v>
      </c>
      <c r="AD514">
        <v>0</v>
      </c>
      <c r="AE514">
        <v>0</v>
      </c>
      <c r="AF514">
        <v>0</v>
      </c>
      <c r="AG514">
        <v>2</v>
      </c>
      <c r="AH514">
        <v>0</v>
      </c>
      <c r="AI514">
        <v>5</v>
      </c>
      <c r="AJ514">
        <v>2</v>
      </c>
      <c r="AK514">
        <v>20</v>
      </c>
      <c r="AL514">
        <v>2</v>
      </c>
      <c r="AM514">
        <v>24</v>
      </c>
      <c r="AN514">
        <v>3</v>
      </c>
      <c r="AO514" t="s">
        <v>2864</v>
      </c>
      <c r="AP514" t="s">
        <v>2865</v>
      </c>
      <c r="AQ514">
        <v>9.6000000000000002E-2</v>
      </c>
      <c r="AR514" t="s">
        <v>69</v>
      </c>
      <c r="AS514">
        <v>44</v>
      </c>
      <c r="AT514">
        <v>5</v>
      </c>
      <c r="AU514">
        <v>3.1780000000000003E-2</v>
      </c>
      <c r="AV514">
        <v>-6.13E-3</v>
      </c>
      <c r="AW514">
        <v>0.14197000000000001</v>
      </c>
      <c r="AX514">
        <v>-2.895E-2</v>
      </c>
      <c r="AY514">
        <v>4.3800000000000002E-3</v>
      </c>
      <c r="AZ514">
        <v>-6.2E-4</v>
      </c>
      <c r="BA514">
        <v>3.0880000000000001E-2</v>
      </c>
      <c r="BB514">
        <v>1</v>
      </c>
      <c r="BC514" t="s">
        <v>70</v>
      </c>
      <c r="BD514">
        <v>0.82599999999999996</v>
      </c>
      <c r="BE514">
        <v>0.65500000000000003</v>
      </c>
      <c r="BF514" t="s">
        <v>71</v>
      </c>
      <c r="BG514">
        <v>0.10497237569060699</v>
      </c>
      <c r="BI514">
        <v>49</v>
      </c>
      <c r="BJ514">
        <v>3.0880000000000001E-2</v>
      </c>
      <c r="BK514">
        <v>0.10497237569060699</v>
      </c>
    </row>
    <row r="515" spans="1:63">
      <c r="A515">
        <v>2909</v>
      </c>
      <c r="B515" t="s">
        <v>2866</v>
      </c>
      <c r="D515" t="s">
        <v>66</v>
      </c>
      <c r="E515">
        <v>2920520</v>
      </c>
      <c r="F515">
        <v>2920921</v>
      </c>
      <c r="G515" t="s">
        <v>74</v>
      </c>
      <c r="H515">
        <v>134</v>
      </c>
      <c r="I515" t="s">
        <v>63</v>
      </c>
      <c r="J515">
        <v>5</v>
      </c>
      <c r="K515" t="str">
        <f>HYPERLINK("Gene2909-zp_tree_all.dnd", "Gene2909-tree")</f>
        <v>Gene2909-tree</v>
      </c>
      <c r="L515">
        <v>5</v>
      </c>
      <c r="M515">
        <v>0</v>
      </c>
      <c r="N515">
        <v>4</v>
      </c>
      <c r="O515">
        <v>0</v>
      </c>
      <c r="P515">
        <v>0</v>
      </c>
      <c r="Q515" t="s">
        <v>135</v>
      </c>
      <c r="R515" t="s">
        <v>66</v>
      </c>
      <c r="S515" t="s">
        <v>66</v>
      </c>
      <c r="T515" t="s">
        <v>66</v>
      </c>
      <c r="U515">
        <v>0</v>
      </c>
      <c r="V515">
        <v>0</v>
      </c>
      <c r="W515">
        <v>2</v>
      </c>
      <c r="X515">
        <v>0</v>
      </c>
      <c r="Y515">
        <v>0</v>
      </c>
      <c r="Z515">
        <v>0</v>
      </c>
      <c r="AA515">
        <v>0</v>
      </c>
      <c r="AB515">
        <v>2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4</v>
      </c>
      <c r="AJ515">
        <v>1</v>
      </c>
      <c r="AK515">
        <v>12</v>
      </c>
      <c r="AL515">
        <v>0</v>
      </c>
      <c r="AM515">
        <v>6</v>
      </c>
      <c r="AN515">
        <v>2</v>
      </c>
      <c r="AO515" t="s">
        <v>68</v>
      </c>
      <c r="AP515" t="s">
        <v>2868</v>
      </c>
      <c r="AQ515">
        <v>0</v>
      </c>
      <c r="AR515" t="s">
        <v>69</v>
      </c>
      <c r="AS515">
        <v>18</v>
      </c>
      <c r="AT515">
        <v>2</v>
      </c>
      <c r="AU515">
        <v>2.7359999999999999E-2</v>
      </c>
      <c r="AV515">
        <v>-3.8400000000000001E-3</v>
      </c>
      <c r="AW515">
        <v>0.11321000000000001</v>
      </c>
      <c r="AX515">
        <v>-1.485E-2</v>
      </c>
      <c r="AY515">
        <v>4.3299999999999996E-3</v>
      </c>
      <c r="AZ515">
        <v>-1.0200000000000001E-3</v>
      </c>
      <c r="BA515">
        <v>3.8240000000000003E-2</v>
      </c>
      <c r="BB515">
        <v>1</v>
      </c>
      <c r="BC515" t="s">
        <v>70</v>
      </c>
      <c r="BD515">
        <v>0.38800000000000001</v>
      </c>
      <c r="BE515">
        <v>0.38800000000000001</v>
      </c>
      <c r="BF515" t="s">
        <v>71</v>
      </c>
      <c r="BG515">
        <v>0.17318435754189901</v>
      </c>
      <c r="BI515">
        <v>20</v>
      </c>
      <c r="BJ515">
        <v>3.8240000000000003E-2</v>
      </c>
      <c r="BK515">
        <v>0.17318435754189901</v>
      </c>
    </row>
    <row r="516" spans="1:63">
      <c r="A516">
        <v>2912</v>
      </c>
      <c r="B516" t="s">
        <v>2869</v>
      </c>
      <c r="D516" t="s">
        <v>66</v>
      </c>
      <c r="E516">
        <v>2925103</v>
      </c>
      <c r="F516">
        <v>2925633</v>
      </c>
      <c r="G516" t="s">
        <v>2871</v>
      </c>
      <c r="H516">
        <v>177</v>
      </c>
      <c r="I516" t="s">
        <v>63</v>
      </c>
      <c r="J516">
        <v>5</v>
      </c>
      <c r="K516" t="str">
        <f>HYPERLINK("Gene2912-zp_tree_all.dnd", "Gene2912-tree")</f>
        <v>Gene2912-tree</v>
      </c>
      <c r="L516">
        <v>3</v>
      </c>
      <c r="M516">
        <v>2</v>
      </c>
      <c r="N516">
        <v>2</v>
      </c>
      <c r="O516">
        <v>2</v>
      </c>
      <c r="P516">
        <v>0.5</v>
      </c>
      <c r="Q516" t="s">
        <v>185</v>
      </c>
      <c r="R516" t="s">
        <v>124</v>
      </c>
      <c r="S516" t="s">
        <v>66</v>
      </c>
      <c r="T516" t="s">
        <v>66</v>
      </c>
      <c r="U516">
        <v>0</v>
      </c>
      <c r="V516">
        <v>0</v>
      </c>
      <c r="W516">
        <v>5</v>
      </c>
      <c r="X516">
        <v>0</v>
      </c>
      <c r="Y516">
        <v>0</v>
      </c>
      <c r="Z516">
        <v>0</v>
      </c>
      <c r="AA516">
        <v>0</v>
      </c>
      <c r="AB516">
        <v>3</v>
      </c>
      <c r="AC516">
        <v>0</v>
      </c>
      <c r="AD516">
        <v>0</v>
      </c>
      <c r="AE516">
        <v>0</v>
      </c>
      <c r="AF516">
        <v>0</v>
      </c>
      <c r="AG516">
        <v>2</v>
      </c>
      <c r="AH516">
        <v>0</v>
      </c>
      <c r="AI516">
        <v>4</v>
      </c>
      <c r="AJ516">
        <v>1</v>
      </c>
      <c r="AK516">
        <v>17</v>
      </c>
      <c r="AL516">
        <v>2</v>
      </c>
      <c r="AM516">
        <v>11</v>
      </c>
      <c r="AN516">
        <v>4</v>
      </c>
      <c r="AO516" t="s">
        <v>2872</v>
      </c>
      <c r="AP516" t="s">
        <v>2873</v>
      </c>
      <c r="AQ516">
        <v>2.7650000000000001</v>
      </c>
      <c r="AR516" t="s">
        <v>69</v>
      </c>
      <c r="AS516">
        <v>28</v>
      </c>
      <c r="AT516">
        <v>6</v>
      </c>
      <c r="AU516">
        <v>3.61E-2</v>
      </c>
      <c r="AV516">
        <v>-5.8300000000000001E-3</v>
      </c>
      <c r="AW516">
        <v>0.12902</v>
      </c>
      <c r="AX516">
        <v>-2.0619999999999999E-2</v>
      </c>
      <c r="AY516">
        <v>9.2700000000000005E-3</v>
      </c>
      <c r="AZ516">
        <v>-2.0400000000000001E-3</v>
      </c>
      <c r="BA516">
        <v>7.1870000000000003E-2</v>
      </c>
      <c r="BB516">
        <v>1</v>
      </c>
      <c r="BC516" t="s">
        <v>70</v>
      </c>
      <c r="BD516">
        <v>0.83199999999999996</v>
      </c>
      <c r="BE516">
        <v>0.64300000000000002</v>
      </c>
      <c r="BF516" t="s">
        <v>71</v>
      </c>
      <c r="BG516">
        <v>1.7094017094016999E-2</v>
      </c>
      <c r="BI516">
        <v>34</v>
      </c>
      <c r="BJ516">
        <v>7.1870000000000003E-2</v>
      </c>
      <c r="BK516">
        <v>1.7094017094016999E-2</v>
      </c>
    </row>
    <row r="517" spans="1:63">
      <c r="A517">
        <v>2913</v>
      </c>
      <c r="B517" t="s">
        <v>2874</v>
      </c>
      <c r="D517" t="s">
        <v>66</v>
      </c>
      <c r="E517">
        <v>2925643</v>
      </c>
      <c r="F517">
        <v>2925897</v>
      </c>
      <c r="G517" t="s">
        <v>2876</v>
      </c>
      <c r="H517">
        <v>85</v>
      </c>
      <c r="I517" t="s">
        <v>63</v>
      </c>
      <c r="J517">
        <v>5</v>
      </c>
      <c r="K517" t="str">
        <f>HYPERLINK("Gene2913-zp_tree_all.dnd", "Gene2913-tree")</f>
        <v>Gene2913-tree</v>
      </c>
      <c r="L517">
        <v>4</v>
      </c>
      <c r="M517">
        <v>1</v>
      </c>
      <c r="N517">
        <v>3</v>
      </c>
      <c r="O517">
        <v>1</v>
      </c>
      <c r="P517">
        <v>0.25</v>
      </c>
      <c r="Q517" t="s">
        <v>112</v>
      </c>
      <c r="R517" t="s">
        <v>65</v>
      </c>
      <c r="S517" t="s">
        <v>66</v>
      </c>
      <c r="T517" t="s">
        <v>66</v>
      </c>
      <c r="U517">
        <v>0</v>
      </c>
      <c r="V517">
        <v>0</v>
      </c>
      <c r="W517">
        <v>2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3</v>
      </c>
      <c r="AJ517">
        <v>1</v>
      </c>
      <c r="AK517">
        <v>2</v>
      </c>
      <c r="AL517">
        <v>1</v>
      </c>
      <c r="AM517">
        <v>1</v>
      </c>
      <c r="AN517">
        <v>1</v>
      </c>
      <c r="AO517" t="s">
        <v>2877</v>
      </c>
      <c r="AP517" t="s">
        <v>2878</v>
      </c>
      <c r="AQ517">
        <v>0.69299999999999995</v>
      </c>
      <c r="AR517" t="s">
        <v>69</v>
      </c>
      <c r="AS517">
        <v>3</v>
      </c>
      <c r="AT517">
        <v>2</v>
      </c>
      <c r="AU517">
        <v>1.111E-2</v>
      </c>
      <c r="AV517">
        <v>-1.7099999999999999E-3</v>
      </c>
      <c r="AW517">
        <v>3.1309999999999998E-2</v>
      </c>
      <c r="AX517">
        <v>-5.8500000000000002E-3</v>
      </c>
      <c r="AY517">
        <v>5.8500000000000002E-3</v>
      </c>
      <c r="AZ517">
        <v>-1.0200000000000001E-3</v>
      </c>
      <c r="BA517">
        <v>0.18690000000000001</v>
      </c>
      <c r="BB517">
        <v>0.85499999999999998</v>
      </c>
      <c r="BC517" t="s">
        <v>188</v>
      </c>
      <c r="BD517">
        <v>0</v>
      </c>
      <c r="BE517">
        <v>0</v>
      </c>
      <c r="BF517" t="s">
        <v>71</v>
      </c>
      <c r="BG517">
        <v>0.18</v>
      </c>
      <c r="BI517">
        <v>5</v>
      </c>
      <c r="BJ517">
        <v>0.18690000000000001</v>
      </c>
      <c r="BK517">
        <v>0.18</v>
      </c>
    </row>
    <row r="518" spans="1:63">
      <c r="A518">
        <v>2916</v>
      </c>
      <c r="B518" t="s">
        <v>2879</v>
      </c>
      <c r="D518" t="s">
        <v>66</v>
      </c>
      <c r="E518">
        <v>2929441</v>
      </c>
      <c r="F518">
        <v>2930472</v>
      </c>
      <c r="G518" t="s">
        <v>2881</v>
      </c>
      <c r="H518">
        <v>344</v>
      </c>
      <c r="I518" t="s">
        <v>63</v>
      </c>
      <c r="J518">
        <v>5</v>
      </c>
      <c r="K518" t="str">
        <f>HYPERLINK("Gene2916-zp_tree_all.dnd", "Gene2916-tree")</f>
        <v>Gene2916-tree</v>
      </c>
      <c r="L518">
        <v>2</v>
      </c>
      <c r="M518">
        <v>3</v>
      </c>
      <c r="N518">
        <v>2</v>
      </c>
      <c r="O518">
        <v>3</v>
      </c>
      <c r="P518">
        <v>0.6</v>
      </c>
      <c r="Q518" t="s">
        <v>124</v>
      </c>
      <c r="R518" t="s">
        <v>86</v>
      </c>
      <c r="S518" t="s">
        <v>66</v>
      </c>
      <c r="T518" t="s">
        <v>66</v>
      </c>
      <c r="U518">
        <v>0</v>
      </c>
      <c r="V518">
        <v>0</v>
      </c>
      <c r="W518">
        <v>6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6</v>
      </c>
      <c r="AH518">
        <v>0</v>
      </c>
      <c r="AI518">
        <v>5</v>
      </c>
      <c r="AJ518">
        <v>2</v>
      </c>
      <c r="AK518">
        <v>32</v>
      </c>
      <c r="AL518">
        <v>4</v>
      </c>
      <c r="AM518">
        <v>32</v>
      </c>
      <c r="AN518">
        <v>2</v>
      </c>
      <c r="AO518" t="s">
        <v>2882</v>
      </c>
      <c r="AP518" t="s">
        <v>2883</v>
      </c>
      <c r="AQ518">
        <v>0.72399999999999998</v>
      </c>
      <c r="AR518" t="s">
        <v>69</v>
      </c>
      <c r="AS518">
        <v>64</v>
      </c>
      <c r="AT518">
        <v>6</v>
      </c>
      <c r="AU518">
        <v>3.295E-2</v>
      </c>
      <c r="AV518">
        <v>-5.0699999999999999E-3</v>
      </c>
      <c r="AW518">
        <v>0.15578</v>
      </c>
      <c r="AX518">
        <v>-2.5520000000000001E-2</v>
      </c>
      <c r="AY518">
        <v>3.49E-3</v>
      </c>
      <c r="AZ518">
        <v>-6.0999999999999997E-4</v>
      </c>
      <c r="BA518">
        <v>2.2409999999999999E-2</v>
      </c>
      <c r="BB518">
        <v>1</v>
      </c>
      <c r="BC518" t="s">
        <v>70</v>
      </c>
      <c r="BD518">
        <v>0.433</v>
      </c>
      <c r="BE518">
        <v>0.433</v>
      </c>
      <c r="BF518" t="s">
        <v>71</v>
      </c>
      <c r="BG518">
        <v>0.128099173553719</v>
      </c>
      <c r="BI518">
        <v>70</v>
      </c>
      <c r="BJ518">
        <v>2.2409999999999999E-2</v>
      </c>
      <c r="BK518">
        <v>0.128099173553719</v>
      </c>
    </row>
    <row r="519" spans="1:63">
      <c r="A519">
        <v>2925</v>
      </c>
      <c r="B519" t="s">
        <v>2887</v>
      </c>
      <c r="D519" t="s">
        <v>66</v>
      </c>
      <c r="E519">
        <v>2939854</v>
      </c>
      <c r="F519">
        <v>2940696</v>
      </c>
      <c r="G519" t="s">
        <v>2889</v>
      </c>
      <c r="H519">
        <v>281</v>
      </c>
      <c r="I519" t="s">
        <v>63</v>
      </c>
      <c r="J519">
        <v>5</v>
      </c>
      <c r="K519" t="str">
        <f>HYPERLINK("Gene2925-zp_tree_all.dnd", "Gene2925-tree")</f>
        <v>Gene2925-tree</v>
      </c>
      <c r="L519">
        <v>2</v>
      </c>
      <c r="M519">
        <v>3</v>
      </c>
      <c r="N519">
        <v>2</v>
      </c>
      <c r="O519">
        <v>3</v>
      </c>
      <c r="P519">
        <v>0.6</v>
      </c>
      <c r="Q519" t="s">
        <v>124</v>
      </c>
      <c r="R519" t="s">
        <v>86</v>
      </c>
      <c r="S519" t="s">
        <v>66</v>
      </c>
      <c r="T519" t="s">
        <v>66</v>
      </c>
      <c r="U519">
        <v>0</v>
      </c>
      <c r="V519">
        <v>0</v>
      </c>
      <c r="W519">
        <v>6</v>
      </c>
      <c r="X519">
        <v>0</v>
      </c>
      <c r="Y519">
        <v>0</v>
      </c>
      <c r="Z519">
        <v>0</v>
      </c>
      <c r="AA519">
        <v>0</v>
      </c>
      <c r="AB519">
        <v>2</v>
      </c>
      <c r="AC519">
        <v>0</v>
      </c>
      <c r="AD519">
        <v>0</v>
      </c>
      <c r="AE519">
        <v>0</v>
      </c>
      <c r="AF519">
        <v>0</v>
      </c>
      <c r="AG519">
        <v>4</v>
      </c>
      <c r="AH519">
        <v>0</v>
      </c>
      <c r="AI519">
        <v>5</v>
      </c>
      <c r="AJ519">
        <v>2</v>
      </c>
      <c r="AK519">
        <v>36</v>
      </c>
      <c r="AL519">
        <v>4</v>
      </c>
      <c r="AM519">
        <v>31</v>
      </c>
      <c r="AN519">
        <v>3</v>
      </c>
      <c r="AO519" t="s">
        <v>2890</v>
      </c>
      <c r="AP519" t="s">
        <v>2891</v>
      </c>
      <c r="AQ519">
        <v>0.29399999999999998</v>
      </c>
      <c r="AR519" t="s">
        <v>69</v>
      </c>
      <c r="AS519">
        <v>67</v>
      </c>
      <c r="AT519">
        <v>7</v>
      </c>
      <c r="AU519">
        <v>4.1160000000000002E-2</v>
      </c>
      <c r="AV519">
        <v>-4.7000000000000002E-3</v>
      </c>
      <c r="AW519">
        <v>0.17824000000000001</v>
      </c>
      <c r="AX519">
        <v>-2.18E-2</v>
      </c>
      <c r="AY519">
        <v>5.3099999999999996E-3</v>
      </c>
      <c r="AZ519">
        <v>-4.0999999999999999E-4</v>
      </c>
      <c r="BA519">
        <v>2.981E-2</v>
      </c>
      <c r="BB519">
        <v>1</v>
      </c>
      <c r="BC519" t="s">
        <v>70</v>
      </c>
      <c r="BD519">
        <v>0.59799999999999998</v>
      </c>
      <c r="BE519">
        <v>0.38600000000000001</v>
      </c>
      <c r="BF519" t="s">
        <v>71</v>
      </c>
      <c r="BG519">
        <v>8.0779944289693595E-2</v>
      </c>
      <c r="BI519">
        <v>74</v>
      </c>
      <c r="BJ519">
        <v>2.981E-2</v>
      </c>
      <c r="BK519">
        <v>8.0779944289693595E-2</v>
      </c>
    </row>
    <row r="520" spans="1:63">
      <c r="A520">
        <v>2926</v>
      </c>
      <c r="B520" t="s">
        <v>2892</v>
      </c>
      <c r="D520" t="s">
        <v>66</v>
      </c>
      <c r="E520">
        <v>2940700</v>
      </c>
      <c r="F520">
        <v>2941638</v>
      </c>
      <c r="G520" t="s">
        <v>2894</v>
      </c>
      <c r="H520">
        <v>313</v>
      </c>
      <c r="I520" t="s">
        <v>63</v>
      </c>
      <c r="J520">
        <v>5</v>
      </c>
      <c r="K520" t="str">
        <f>HYPERLINK("Gene2926-zp_tree_all.dnd", "Gene2926-tree")</f>
        <v>Gene2926-tree</v>
      </c>
      <c r="L520">
        <v>3</v>
      </c>
      <c r="M520">
        <v>2</v>
      </c>
      <c r="N520">
        <v>3</v>
      </c>
      <c r="O520">
        <v>2</v>
      </c>
      <c r="P520">
        <v>0.4</v>
      </c>
      <c r="Q520" t="s">
        <v>86</v>
      </c>
      <c r="R520" t="s">
        <v>124</v>
      </c>
      <c r="S520" t="s">
        <v>66</v>
      </c>
      <c r="T520" t="s">
        <v>66</v>
      </c>
      <c r="U520">
        <v>1</v>
      </c>
      <c r="V520">
        <v>2</v>
      </c>
      <c r="W520">
        <v>3</v>
      </c>
      <c r="X520">
        <v>0.4</v>
      </c>
      <c r="Y520">
        <v>0</v>
      </c>
      <c r="Z520">
        <v>0</v>
      </c>
      <c r="AA520">
        <v>0</v>
      </c>
      <c r="AB520">
        <v>2</v>
      </c>
      <c r="AC520">
        <v>0</v>
      </c>
      <c r="AD520">
        <v>0</v>
      </c>
      <c r="AE520">
        <v>0</v>
      </c>
      <c r="AF520">
        <v>0</v>
      </c>
      <c r="AG520">
        <v>3</v>
      </c>
      <c r="AH520">
        <v>0</v>
      </c>
      <c r="AI520">
        <v>5</v>
      </c>
      <c r="AJ520">
        <v>2</v>
      </c>
      <c r="AK520">
        <v>29</v>
      </c>
      <c r="AL520">
        <v>3</v>
      </c>
      <c r="AM520">
        <v>36</v>
      </c>
      <c r="AN520">
        <v>2</v>
      </c>
      <c r="AO520" t="s">
        <v>2895</v>
      </c>
      <c r="AP520" t="s">
        <v>2896</v>
      </c>
      <c r="AQ520">
        <v>0.505</v>
      </c>
      <c r="AR520" t="s">
        <v>69</v>
      </c>
      <c r="AS520">
        <v>65</v>
      </c>
      <c r="AT520">
        <v>5</v>
      </c>
      <c r="AU520">
        <v>3.6319999999999998E-2</v>
      </c>
      <c r="AV520">
        <v>-5.3099999999999996E-3</v>
      </c>
      <c r="AW520">
        <v>0.15572</v>
      </c>
      <c r="AX520">
        <v>-2.4670000000000001E-2</v>
      </c>
      <c r="AY520">
        <v>3.3999999999999998E-3</v>
      </c>
      <c r="AZ520">
        <v>-4.2000000000000002E-4</v>
      </c>
      <c r="BA520">
        <v>2.1829999999999999E-2</v>
      </c>
      <c r="BB520">
        <v>1</v>
      </c>
      <c r="BC520" t="s">
        <v>70</v>
      </c>
      <c r="BD520">
        <v>0.70399999999999996</v>
      </c>
      <c r="BE520">
        <v>0.38800000000000001</v>
      </c>
      <c r="BF520" t="s">
        <v>71</v>
      </c>
      <c r="BG520">
        <v>0</v>
      </c>
      <c r="BI520">
        <v>70</v>
      </c>
      <c r="BJ520">
        <v>2.1829999999999999E-2</v>
      </c>
      <c r="BK520">
        <v>0</v>
      </c>
    </row>
    <row r="521" spans="1:63">
      <c r="A521">
        <v>2942</v>
      </c>
      <c r="B521" t="s">
        <v>2911</v>
      </c>
      <c r="D521" t="s">
        <v>66</v>
      </c>
      <c r="E521">
        <v>2955212</v>
      </c>
      <c r="F521">
        <v>2955649</v>
      </c>
      <c r="G521" t="s">
        <v>2913</v>
      </c>
      <c r="H521">
        <v>146</v>
      </c>
      <c r="I521" t="s">
        <v>85</v>
      </c>
      <c r="J521">
        <v>4</v>
      </c>
      <c r="K521" t="str">
        <f>HYPERLINK("Gene2942-zp_tree_all.dnd", "Gene2942-tree")</f>
        <v>Gene2942-tree</v>
      </c>
      <c r="L521">
        <v>3</v>
      </c>
      <c r="M521">
        <v>1</v>
      </c>
      <c r="N521">
        <v>3</v>
      </c>
      <c r="O521">
        <v>1</v>
      </c>
      <c r="P521">
        <v>0.25</v>
      </c>
      <c r="Q521" t="s">
        <v>86</v>
      </c>
      <c r="R521" t="s">
        <v>65</v>
      </c>
      <c r="S521" t="s">
        <v>66</v>
      </c>
      <c r="T521" t="s">
        <v>66</v>
      </c>
      <c r="U521">
        <v>0</v>
      </c>
      <c r="V521">
        <v>0</v>
      </c>
      <c r="W521">
        <v>3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0</v>
      </c>
      <c r="AD521">
        <v>0</v>
      </c>
      <c r="AE521">
        <v>0</v>
      </c>
      <c r="AF521">
        <v>0</v>
      </c>
      <c r="AG521">
        <v>2</v>
      </c>
      <c r="AH521">
        <v>0</v>
      </c>
      <c r="AI521">
        <v>3</v>
      </c>
      <c r="AJ521">
        <v>1</v>
      </c>
      <c r="AK521">
        <v>17</v>
      </c>
      <c r="AL521">
        <v>2</v>
      </c>
      <c r="AM521">
        <v>2</v>
      </c>
      <c r="AN521">
        <v>1</v>
      </c>
      <c r="AO521" t="s">
        <v>2914</v>
      </c>
      <c r="AP521" t="s">
        <v>2915</v>
      </c>
      <c r="AQ521">
        <v>1.9490000000000001</v>
      </c>
      <c r="AR521" t="s">
        <v>69</v>
      </c>
      <c r="AS521">
        <v>19</v>
      </c>
      <c r="AT521">
        <v>3</v>
      </c>
      <c r="AU521">
        <v>2.6259999999999999E-2</v>
      </c>
      <c r="AV521">
        <v>-7.1500000000000001E-3</v>
      </c>
      <c r="AW521">
        <v>9.8960000000000006E-2</v>
      </c>
      <c r="AX521">
        <v>-2.8049999999999999E-2</v>
      </c>
      <c r="AY521">
        <v>5.1000000000000004E-3</v>
      </c>
      <c r="AZ521">
        <v>-1.3799999999999999E-3</v>
      </c>
      <c r="BA521">
        <v>5.1499999999999997E-2</v>
      </c>
      <c r="BB521">
        <v>1</v>
      </c>
      <c r="BC521" t="s">
        <v>70</v>
      </c>
      <c r="BD521">
        <v>-0.42799999999999999</v>
      </c>
      <c r="BE521">
        <v>-0.42799999999999999</v>
      </c>
      <c r="BF521" t="s">
        <v>71</v>
      </c>
      <c r="BG521">
        <v>3.2608695652173898E-2</v>
      </c>
      <c r="BI521">
        <v>22</v>
      </c>
      <c r="BJ521">
        <v>5.1499999999999997E-2</v>
      </c>
      <c r="BK521">
        <v>3.2608695652173898E-2</v>
      </c>
    </row>
    <row r="522" spans="1:63">
      <c r="A522">
        <v>2946</v>
      </c>
      <c r="B522" t="s">
        <v>2916</v>
      </c>
      <c r="D522" t="s">
        <v>66</v>
      </c>
      <c r="E522">
        <v>2959260</v>
      </c>
      <c r="F522">
        <v>2961188</v>
      </c>
      <c r="G522" t="s">
        <v>2918</v>
      </c>
      <c r="H522">
        <v>643</v>
      </c>
      <c r="I522" t="s">
        <v>63</v>
      </c>
      <c r="J522">
        <v>5</v>
      </c>
      <c r="K522" t="str">
        <f>HYPERLINK("Gene2946-zp_tree_all.dnd", "Gene2946-tree")</f>
        <v>Gene2946-tree</v>
      </c>
      <c r="L522">
        <v>2</v>
      </c>
      <c r="M522">
        <v>3</v>
      </c>
      <c r="N522">
        <v>2</v>
      </c>
      <c r="O522">
        <v>3</v>
      </c>
      <c r="P522">
        <v>0.6</v>
      </c>
      <c r="Q522" t="s">
        <v>124</v>
      </c>
      <c r="R522" t="s">
        <v>86</v>
      </c>
      <c r="S522" t="s">
        <v>66</v>
      </c>
      <c r="T522" t="s">
        <v>66</v>
      </c>
      <c r="U522">
        <v>0</v>
      </c>
      <c r="V522">
        <v>0</v>
      </c>
      <c r="W522">
        <v>7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6</v>
      </c>
      <c r="AH522">
        <v>0</v>
      </c>
      <c r="AI522">
        <v>5</v>
      </c>
      <c r="AJ522">
        <v>2</v>
      </c>
      <c r="AK522">
        <v>80</v>
      </c>
      <c r="AL522">
        <v>4</v>
      </c>
      <c r="AM522">
        <v>50</v>
      </c>
      <c r="AN522">
        <v>3</v>
      </c>
      <c r="AO522" t="s">
        <v>2919</v>
      </c>
      <c r="AP522" t="s">
        <v>2920</v>
      </c>
      <c r="AQ522">
        <v>0.184</v>
      </c>
      <c r="AR522" t="s">
        <v>69</v>
      </c>
      <c r="AS522">
        <v>130</v>
      </c>
      <c r="AT522">
        <v>7</v>
      </c>
      <c r="AU522">
        <v>3.2300000000000002E-2</v>
      </c>
      <c r="AV522">
        <v>-4.3400000000000001E-3</v>
      </c>
      <c r="AW522">
        <v>0.15345</v>
      </c>
      <c r="AX522">
        <v>-2.2110000000000001E-2</v>
      </c>
      <c r="AY522">
        <v>2.2799999999999999E-3</v>
      </c>
      <c r="AZ522">
        <v>-3.3E-4</v>
      </c>
      <c r="BA522">
        <v>1.4840000000000001E-2</v>
      </c>
      <c r="BB522">
        <v>1</v>
      </c>
      <c r="BC522" t="s">
        <v>70</v>
      </c>
      <c r="BD522">
        <v>0.22900000000000001</v>
      </c>
      <c r="BE522">
        <v>-0.111</v>
      </c>
      <c r="BF522" t="s">
        <v>71</v>
      </c>
      <c r="BG522">
        <v>7.5892857142857095E-2</v>
      </c>
      <c r="BI522">
        <v>137</v>
      </c>
      <c r="BJ522">
        <v>1.4840000000000001E-2</v>
      </c>
      <c r="BK522">
        <v>7.5892857142857095E-2</v>
      </c>
    </row>
    <row r="523" spans="1:63">
      <c r="A523">
        <v>2951</v>
      </c>
      <c r="B523" t="s">
        <v>2921</v>
      </c>
      <c r="D523" t="s">
        <v>66</v>
      </c>
      <c r="E523">
        <v>2965684</v>
      </c>
      <c r="F523">
        <v>2966139</v>
      </c>
      <c r="G523" t="s">
        <v>2923</v>
      </c>
      <c r="H523">
        <v>152</v>
      </c>
      <c r="I523" t="s">
        <v>63</v>
      </c>
      <c r="J523">
        <v>5</v>
      </c>
      <c r="K523" t="str">
        <f>HYPERLINK("Gene2951-zp_tree_all.dnd", "Gene2951-tree")</f>
        <v>Gene2951-tree</v>
      </c>
      <c r="L523">
        <v>5</v>
      </c>
      <c r="M523">
        <v>0</v>
      </c>
      <c r="N523">
        <v>5</v>
      </c>
      <c r="O523">
        <v>0</v>
      </c>
      <c r="P523">
        <v>0</v>
      </c>
      <c r="Q523" t="s">
        <v>96</v>
      </c>
      <c r="R523" t="s">
        <v>66</v>
      </c>
      <c r="S523" t="s">
        <v>66</v>
      </c>
      <c r="T523" t="s">
        <v>66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4</v>
      </c>
      <c r="AJ523">
        <v>2</v>
      </c>
      <c r="AK523">
        <v>13</v>
      </c>
      <c r="AL523">
        <v>0</v>
      </c>
      <c r="AM523">
        <v>14</v>
      </c>
      <c r="AN523">
        <v>0</v>
      </c>
      <c r="AO523" t="s">
        <v>68</v>
      </c>
      <c r="AP523" t="s">
        <v>68</v>
      </c>
      <c r="AQ523">
        <v>0</v>
      </c>
      <c r="AR523" t="s">
        <v>69</v>
      </c>
      <c r="AS523">
        <v>27</v>
      </c>
      <c r="AT523">
        <v>0</v>
      </c>
      <c r="AU523">
        <v>2.7629999999999998E-2</v>
      </c>
      <c r="AV523">
        <v>-3.7200000000000002E-3</v>
      </c>
      <c r="AW523">
        <v>0.14418</v>
      </c>
      <c r="AX523">
        <v>-2.0959999999999999E-2</v>
      </c>
      <c r="AY523">
        <v>0</v>
      </c>
      <c r="AZ523">
        <v>0</v>
      </c>
      <c r="BA523">
        <v>0</v>
      </c>
      <c r="BB523">
        <v>1</v>
      </c>
      <c r="BC523" t="s">
        <v>70</v>
      </c>
      <c r="BD523">
        <v>0.69699999999999995</v>
      </c>
      <c r="BE523">
        <v>0.69699999999999995</v>
      </c>
      <c r="BF523" t="s">
        <v>71</v>
      </c>
      <c r="BG523">
        <v>0.14150943396226401</v>
      </c>
      <c r="BI523">
        <v>27</v>
      </c>
      <c r="BJ523">
        <v>0</v>
      </c>
      <c r="BK523">
        <v>0.14150943396226401</v>
      </c>
    </row>
    <row r="524" spans="1:63">
      <c r="A524">
        <v>2952</v>
      </c>
      <c r="B524" t="s">
        <v>2924</v>
      </c>
      <c r="D524" t="s">
        <v>66</v>
      </c>
      <c r="E524">
        <v>2966416</v>
      </c>
      <c r="F524">
        <v>2966793</v>
      </c>
      <c r="G524" t="s">
        <v>2926</v>
      </c>
      <c r="H524">
        <v>126</v>
      </c>
      <c r="I524" t="s">
        <v>63</v>
      </c>
      <c r="J524">
        <v>5</v>
      </c>
      <c r="K524" t="str">
        <f>HYPERLINK("Gene2952-zp_tree_all.dnd", "Gene2952-tree")</f>
        <v>Gene2952-tree</v>
      </c>
      <c r="L524">
        <v>5</v>
      </c>
      <c r="M524">
        <v>0</v>
      </c>
      <c r="N524">
        <v>4</v>
      </c>
      <c r="O524">
        <v>0</v>
      </c>
      <c r="P524">
        <v>0</v>
      </c>
      <c r="Q524" t="s">
        <v>135</v>
      </c>
      <c r="R524" t="s">
        <v>66</v>
      </c>
      <c r="S524" t="s">
        <v>66</v>
      </c>
      <c r="T524" t="s">
        <v>66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3</v>
      </c>
      <c r="AJ524">
        <v>1</v>
      </c>
      <c r="AK524">
        <v>3</v>
      </c>
      <c r="AL524">
        <v>0</v>
      </c>
      <c r="AM524">
        <v>1</v>
      </c>
      <c r="AN524">
        <v>0</v>
      </c>
      <c r="AO524" t="s">
        <v>68</v>
      </c>
      <c r="AP524" t="s">
        <v>68</v>
      </c>
      <c r="AQ524">
        <v>0</v>
      </c>
      <c r="AR524" t="s">
        <v>69</v>
      </c>
      <c r="AS524">
        <v>4</v>
      </c>
      <c r="AT524">
        <v>0</v>
      </c>
      <c r="AU524">
        <v>5.7299999999999999E-3</v>
      </c>
      <c r="AV524">
        <v>-7.3999999999999999E-4</v>
      </c>
      <c r="AW524">
        <v>2.632E-2</v>
      </c>
      <c r="AX524">
        <v>-3.46E-3</v>
      </c>
      <c r="AY524">
        <v>0</v>
      </c>
      <c r="AZ524">
        <v>0</v>
      </c>
      <c r="BA524">
        <v>0</v>
      </c>
      <c r="BB524">
        <v>1</v>
      </c>
      <c r="BC524" t="s">
        <v>70</v>
      </c>
      <c r="BD524">
        <v>0.27300000000000002</v>
      </c>
      <c r="BE524">
        <v>0.27300000000000002</v>
      </c>
      <c r="BF524" t="s">
        <v>71</v>
      </c>
      <c r="BG524">
        <v>0.1875</v>
      </c>
      <c r="BI524">
        <v>4</v>
      </c>
      <c r="BJ524">
        <v>0</v>
      </c>
      <c r="BK524">
        <v>0.1875</v>
      </c>
    </row>
    <row r="525" spans="1:63">
      <c r="A525">
        <v>2954</v>
      </c>
      <c r="B525" t="s">
        <v>2927</v>
      </c>
      <c r="D525" t="s">
        <v>66</v>
      </c>
      <c r="E525">
        <v>2968263</v>
      </c>
      <c r="F525">
        <v>2968640</v>
      </c>
      <c r="G525" t="s">
        <v>618</v>
      </c>
      <c r="H525">
        <v>126</v>
      </c>
      <c r="I525" t="s">
        <v>85</v>
      </c>
      <c r="J525">
        <v>4</v>
      </c>
      <c r="K525" t="str">
        <f>HYPERLINK("Gene2954-zp_tree_all.dnd", "Gene2954-tree")</f>
        <v>Gene2954-tree</v>
      </c>
      <c r="L525">
        <v>2</v>
      </c>
      <c r="M525">
        <v>2</v>
      </c>
      <c r="N525">
        <v>2</v>
      </c>
      <c r="O525">
        <v>2</v>
      </c>
      <c r="P525">
        <v>0.5</v>
      </c>
      <c r="Q525" t="s">
        <v>124</v>
      </c>
      <c r="R525" t="s">
        <v>124</v>
      </c>
      <c r="S525" t="s">
        <v>66</v>
      </c>
      <c r="T525" t="s">
        <v>66</v>
      </c>
      <c r="U525">
        <v>0</v>
      </c>
      <c r="V525">
        <v>0</v>
      </c>
      <c r="W525">
        <v>4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4</v>
      </c>
      <c r="AH525">
        <v>0</v>
      </c>
      <c r="AI525">
        <v>4</v>
      </c>
      <c r="AJ525">
        <v>1</v>
      </c>
      <c r="AK525">
        <v>23</v>
      </c>
      <c r="AL525">
        <v>4</v>
      </c>
      <c r="AM525">
        <v>1</v>
      </c>
      <c r="AN525">
        <v>0</v>
      </c>
      <c r="AO525" t="s">
        <v>2929</v>
      </c>
      <c r="AP525" t="s">
        <v>68</v>
      </c>
      <c r="AQ525">
        <v>1</v>
      </c>
      <c r="AR525" t="s">
        <v>69</v>
      </c>
      <c r="AS525">
        <v>24</v>
      </c>
      <c r="AT525">
        <v>4</v>
      </c>
      <c r="AU525">
        <v>3.483E-2</v>
      </c>
      <c r="AV525">
        <v>-7.9500000000000005E-3</v>
      </c>
      <c r="AW525">
        <v>0.15476999999999999</v>
      </c>
      <c r="AX525">
        <v>-3.9879999999999999E-2</v>
      </c>
      <c r="AY525">
        <v>6.8199999999999997E-3</v>
      </c>
      <c r="AZ525">
        <v>-1.6100000000000001E-3</v>
      </c>
      <c r="BA525">
        <v>4.4060000000000002E-2</v>
      </c>
      <c r="BB525">
        <v>1</v>
      </c>
      <c r="BC525" t="s">
        <v>70</v>
      </c>
      <c r="BD525">
        <v>-0.35499999999999998</v>
      </c>
      <c r="BE525">
        <v>-0.73299999999999998</v>
      </c>
      <c r="BF525" t="s">
        <v>71</v>
      </c>
      <c r="BG525">
        <v>0.16049382716049301</v>
      </c>
      <c r="BI525">
        <v>28</v>
      </c>
      <c r="BJ525">
        <v>4.4060000000000002E-2</v>
      </c>
      <c r="BK525">
        <v>0.16049382716049301</v>
      </c>
    </row>
    <row r="526" spans="1:63">
      <c r="A526">
        <v>2958</v>
      </c>
      <c r="B526" t="s">
        <v>2930</v>
      </c>
      <c r="D526" t="s">
        <v>66</v>
      </c>
      <c r="E526">
        <v>2971534</v>
      </c>
      <c r="F526">
        <v>2972163</v>
      </c>
      <c r="G526" t="s">
        <v>74</v>
      </c>
      <c r="H526">
        <v>210</v>
      </c>
      <c r="I526" t="s">
        <v>63</v>
      </c>
      <c r="J526">
        <v>5</v>
      </c>
      <c r="K526" t="str">
        <f>HYPERLINK("Gene2958-zp_tree_all.dnd", "Gene2958-tree")</f>
        <v>Gene2958-tree</v>
      </c>
      <c r="L526">
        <v>3</v>
      </c>
      <c r="M526">
        <v>2</v>
      </c>
      <c r="N526">
        <v>2</v>
      </c>
      <c r="O526">
        <v>2</v>
      </c>
      <c r="P526">
        <v>0.5</v>
      </c>
      <c r="Q526" t="s">
        <v>185</v>
      </c>
      <c r="R526" t="s">
        <v>124</v>
      </c>
      <c r="S526" t="s">
        <v>66</v>
      </c>
      <c r="T526" t="s">
        <v>66</v>
      </c>
      <c r="U526">
        <v>0</v>
      </c>
      <c r="V526">
        <v>0</v>
      </c>
      <c r="W526">
        <v>3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3</v>
      </c>
      <c r="AH526">
        <v>0</v>
      </c>
      <c r="AI526">
        <v>4</v>
      </c>
      <c r="AJ526">
        <v>1</v>
      </c>
      <c r="AK526">
        <v>14</v>
      </c>
      <c r="AL526">
        <v>3</v>
      </c>
      <c r="AM526">
        <v>16</v>
      </c>
      <c r="AN526">
        <v>0</v>
      </c>
      <c r="AO526" t="s">
        <v>2932</v>
      </c>
      <c r="AP526" t="s">
        <v>68</v>
      </c>
      <c r="AQ526">
        <v>1.1200000000000001</v>
      </c>
      <c r="AR526" t="s">
        <v>69</v>
      </c>
      <c r="AS526">
        <v>30</v>
      </c>
      <c r="AT526">
        <v>3</v>
      </c>
      <c r="AU526">
        <v>3.0419999999999999E-2</v>
      </c>
      <c r="AV526">
        <v>-5.5199999999999997E-3</v>
      </c>
      <c r="AW526">
        <v>0.13236999999999999</v>
      </c>
      <c r="AX526">
        <v>-2.5510000000000001E-2</v>
      </c>
      <c r="AY526">
        <v>3.1199999999999999E-3</v>
      </c>
      <c r="AZ526">
        <v>-6.3000000000000003E-4</v>
      </c>
      <c r="BA526">
        <v>2.3599999999999999E-2</v>
      </c>
      <c r="BB526">
        <v>1</v>
      </c>
      <c r="BC526" t="s">
        <v>70</v>
      </c>
      <c r="BD526">
        <v>0.35899999999999999</v>
      </c>
      <c r="BE526">
        <v>0.35899999999999999</v>
      </c>
      <c r="BF526" t="s">
        <v>71</v>
      </c>
      <c r="BG526">
        <v>0.201465201465201</v>
      </c>
      <c r="BI526">
        <v>33</v>
      </c>
      <c r="BJ526">
        <v>2.3599999999999999E-2</v>
      </c>
      <c r="BK526">
        <v>0.201465201465201</v>
      </c>
    </row>
    <row r="527" spans="1:63">
      <c r="A527">
        <v>2962</v>
      </c>
      <c r="B527" t="s">
        <v>2933</v>
      </c>
      <c r="D527" t="s">
        <v>66</v>
      </c>
      <c r="E527">
        <v>2977803</v>
      </c>
      <c r="F527">
        <v>2978522</v>
      </c>
      <c r="G527" t="s">
        <v>2935</v>
      </c>
      <c r="H527">
        <v>240</v>
      </c>
      <c r="I527" t="s">
        <v>63</v>
      </c>
      <c r="J527">
        <v>5</v>
      </c>
      <c r="K527" t="str">
        <f>HYPERLINK("Gene2962-zp_tree_all.dnd", "Gene2962-tree")</f>
        <v>Gene2962-tree</v>
      </c>
      <c r="L527">
        <v>3</v>
      </c>
      <c r="M527">
        <v>2</v>
      </c>
      <c r="N527">
        <v>3</v>
      </c>
      <c r="O527">
        <v>2</v>
      </c>
      <c r="P527">
        <v>0.4</v>
      </c>
      <c r="Q527" t="s">
        <v>86</v>
      </c>
      <c r="R527" t="s">
        <v>124</v>
      </c>
      <c r="S527" t="s">
        <v>66</v>
      </c>
      <c r="T527" t="s">
        <v>66</v>
      </c>
      <c r="U527">
        <v>1</v>
      </c>
      <c r="V527">
        <v>2</v>
      </c>
      <c r="W527">
        <v>3</v>
      </c>
      <c r="X527">
        <v>0.4</v>
      </c>
      <c r="Y527">
        <v>0</v>
      </c>
      <c r="Z527">
        <v>0</v>
      </c>
      <c r="AA527">
        <v>0</v>
      </c>
      <c r="AB527">
        <v>2</v>
      </c>
      <c r="AC527">
        <v>0</v>
      </c>
      <c r="AD527">
        <v>2</v>
      </c>
      <c r="AE527">
        <v>0</v>
      </c>
      <c r="AF527">
        <v>2</v>
      </c>
      <c r="AG527">
        <v>1</v>
      </c>
      <c r="AH527">
        <v>0.66666999999999998</v>
      </c>
      <c r="AI527">
        <v>5</v>
      </c>
      <c r="AJ527">
        <v>2</v>
      </c>
      <c r="AK527">
        <v>20</v>
      </c>
      <c r="AL527">
        <v>3</v>
      </c>
      <c r="AM527">
        <v>20</v>
      </c>
      <c r="AN527">
        <v>2</v>
      </c>
      <c r="AO527" t="s">
        <v>2936</v>
      </c>
      <c r="AP527" t="s">
        <v>2937</v>
      </c>
      <c r="AQ527">
        <v>0.308</v>
      </c>
      <c r="AR527" t="s">
        <v>69</v>
      </c>
      <c r="AS527">
        <v>40</v>
      </c>
      <c r="AT527">
        <v>5</v>
      </c>
      <c r="AU527">
        <v>3.0419999999999999E-2</v>
      </c>
      <c r="AV527">
        <v>-4.8799999999999998E-3</v>
      </c>
      <c r="AW527">
        <v>0.14022000000000001</v>
      </c>
      <c r="AX527">
        <v>-2.41E-2</v>
      </c>
      <c r="AY527">
        <v>3.9300000000000003E-3</v>
      </c>
      <c r="AZ527">
        <v>-5.9000000000000003E-4</v>
      </c>
      <c r="BA527">
        <v>2.802E-2</v>
      </c>
      <c r="BB527">
        <v>1</v>
      </c>
      <c r="BC527" t="s">
        <v>70</v>
      </c>
      <c r="BD527">
        <v>0.46</v>
      </c>
      <c r="BE527">
        <v>0.27700000000000002</v>
      </c>
      <c r="BF527" t="s">
        <v>71</v>
      </c>
      <c r="BG527">
        <v>0.18688524590163899</v>
      </c>
      <c r="BI527">
        <v>45</v>
      </c>
      <c r="BJ527">
        <v>2.802E-2</v>
      </c>
      <c r="BK527">
        <v>0.18688524590163899</v>
      </c>
    </row>
    <row r="528" spans="1:63">
      <c r="A528">
        <v>2963</v>
      </c>
      <c r="B528" t="s">
        <v>2938</v>
      </c>
      <c r="D528" t="s">
        <v>66</v>
      </c>
      <c r="E528">
        <v>2978737</v>
      </c>
      <c r="F528">
        <v>2979672</v>
      </c>
      <c r="G528" t="s">
        <v>2940</v>
      </c>
      <c r="H528">
        <v>312</v>
      </c>
      <c r="I528" t="s">
        <v>63</v>
      </c>
      <c r="J528">
        <v>5</v>
      </c>
      <c r="K528" t="str">
        <f>HYPERLINK("Gene2963-zp_tree_all.dnd", "Gene2963-tree")</f>
        <v>Gene2963-tree</v>
      </c>
      <c r="L528">
        <v>3</v>
      </c>
      <c r="M528">
        <v>2</v>
      </c>
      <c r="N528">
        <v>3</v>
      </c>
      <c r="O528">
        <v>2</v>
      </c>
      <c r="P528">
        <v>0.4</v>
      </c>
      <c r="Q528" t="s">
        <v>86</v>
      </c>
      <c r="R528" t="s">
        <v>124</v>
      </c>
      <c r="S528" t="s">
        <v>66</v>
      </c>
      <c r="T528" t="s">
        <v>66</v>
      </c>
      <c r="U528">
        <v>0</v>
      </c>
      <c r="V528">
        <v>0</v>
      </c>
      <c r="W528">
        <v>3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0</v>
      </c>
      <c r="AE528">
        <v>0</v>
      </c>
      <c r="AF528">
        <v>0</v>
      </c>
      <c r="AG528">
        <v>2</v>
      </c>
      <c r="AH528">
        <v>0</v>
      </c>
      <c r="AI528">
        <v>5</v>
      </c>
      <c r="AJ528">
        <v>2</v>
      </c>
      <c r="AK528">
        <v>23</v>
      </c>
      <c r="AL528">
        <v>2</v>
      </c>
      <c r="AM528">
        <v>17</v>
      </c>
      <c r="AN528">
        <v>1</v>
      </c>
      <c r="AO528" t="s">
        <v>2941</v>
      </c>
      <c r="AP528" t="s">
        <v>2942</v>
      </c>
      <c r="AQ528">
        <v>0.29699999999999999</v>
      </c>
      <c r="AR528" t="s">
        <v>69</v>
      </c>
      <c r="AS528">
        <v>40</v>
      </c>
      <c r="AT528">
        <v>3</v>
      </c>
      <c r="AU528">
        <v>2.1510000000000001E-2</v>
      </c>
      <c r="AV528">
        <v>-3.0899999999999999E-3</v>
      </c>
      <c r="AW528">
        <v>8.5470000000000004E-2</v>
      </c>
      <c r="AX528">
        <v>-1.333E-2</v>
      </c>
      <c r="AY528">
        <v>2.0100000000000001E-3</v>
      </c>
      <c r="AZ528">
        <v>-2.2000000000000001E-4</v>
      </c>
      <c r="BA528">
        <v>2.3550000000000001E-2</v>
      </c>
      <c r="BB528">
        <v>1</v>
      </c>
      <c r="BC528" t="s">
        <v>70</v>
      </c>
      <c r="BD528">
        <v>0.313</v>
      </c>
      <c r="BE528">
        <v>0.157</v>
      </c>
      <c r="BF528" t="s">
        <v>71</v>
      </c>
      <c r="BG528">
        <v>0.117924528301886</v>
      </c>
      <c r="BI528">
        <v>43</v>
      </c>
      <c r="BJ528">
        <v>2.3550000000000001E-2</v>
      </c>
      <c r="BK528">
        <v>0.117924528301886</v>
      </c>
    </row>
    <row r="529" spans="1:63">
      <c r="A529">
        <v>2964</v>
      </c>
      <c r="B529" t="s">
        <v>2943</v>
      </c>
      <c r="D529" t="s">
        <v>66</v>
      </c>
      <c r="E529">
        <v>2979719</v>
      </c>
      <c r="F529">
        <v>2980987</v>
      </c>
      <c r="G529" t="s">
        <v>2945</v>
      </c>
      <c r="H529">
        <v>423</v>
      </c>
      <c r="I529" t="s">
        <v>63</v>
      </c>
      <c r="J529">
        <v>5</v>
      </c>
      <c r="K529" t="str">
        <f>HYPERLINK("Gene2964-zp_tree_all.dnd", "Gene2964-tree")</f>
        <v>Gene2964-tree</v>
      </c>
      <c r="L529">
        <v>5</v>
      </c>
      <c r="M529">
        <v>0</v>
      </c>
      <c r="N529">
        <v>5</v>
      </c>
      <c r="O529">
        <v>0</v>
      </c>
      <c r="P529">
        <v>0</v>
      </c>
      <c r="Q529" t="s">
        <v>96</v>
      </c>
      <c r="R529" t="s">
        <v>66</v>
      </c>
      <c r="S529" t="s">
        <v>66</v>
      </c>
      <c r="T529" t="s">
        <v>66</v>
      </c>
      <c r="U529">
        <v>0</v>
      </c>
      <c r="V529">
        <v>0</v>
      </c>
      <c r="W529">
        <v>5</v>
      </c>
      <c r="X529">
        <v>0</v>
      </c>
      <c r="Y529">
        <v>0</v>
      </c>
      <c r="Z529">
        <v>0</v>
      </c>
      <c r="AA529">
        <v>0</v>
      </c>
      <c r="AB529">
        <v>5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5</v>
      </c>
      <c r="AJ529">
        <v>2</v>
      </c>
      <c r="AK529">
        <v>34</v>
      </c>
      <c r="AL529">
        <v>0</v>
      </c>
      <c r="AM529">
        <v>28</v>
      </c>
      <c r="AN529">
        <v>5</v>
      </c>
      <c r="AO529" t="s">
        <v>68</v>
      </c>
      <c r="AP529" t="s">
        <v>2946</v>
      </c>
      <c r="AQ529">
        <v>1.276</v>
      </c>
      <c r="AR529" t="s">
        <v>69</v>
      </c>
      <c r="AS529">
        <v>62</v>
      </c>
      <c r="AT529">
        <v>5</v>
      </c>
      <c r="AU529">
        <v>2.5610000000000001E-2</v>
      </c>
      <c r="AV529">
        <v>-4.2399999999999998E-3</v>
      </c>
      <c r="AW529">
        <v>0.10992</v>
      </c>
      <c r="AX529">
        <v>-1.839E-2</v>
      </c>
      <c r="AY529">
        <v>3.0899999999999999E-3</v>
      </c>
      <c r="AZ529">
        <v>-6.0999999999999997E-4</v>
      </c>
      <c r="BA529">
        <v>2.8080000000000001E-2</v>
      </c>
      <c r="BB529">
        <v>1</v>
      </c>
      <c r="BC529" t="s">
        <v>70</v>
      </c>
      <c r="BD529">
        <v>0.56599999999999995</v>
      </c>
      <c r="BE529">
        <v>0.34</v>
      </c>
      <c r="BF529" t="s">
        <v>71</v>
      </c>
      <c r="BG529">
        <v>6.5719360568383595E-2</v>
      </c>
      <c r="BI529">
        <v>67</v>
      </c>
      <c r="BJ529">
        <v>2.8080000000000001E-2</v>
      </c>
      <c r="BK529">
        <v>6.5719360568383595E-2</v>
      </c>
    </row>
    <row r="530" spans="1:63">
      <c r="A530">
        <v>2965</v>
      </c>
      <c r="B530" t="s">
        <v>2947</v>
      </c>
      <c r="D530" t="s">
        <v>66</v>
      </c>
      <c r="E530">
        <v>2981154</v>
      </c>
      <c r="F530">
        <v>2982269</v>
      </c>
      <c r="G530" t="s">
        <v>2949</v>
      </c>
      <c r="H530">
        <v>372</v>
      </c>
      <c r="I530" t="s">
        <v>63</v>
      </c>
      <c r="J530">
        <v>5</v>
      </c>
      <c r="K530" t="str">
        <f>HYPERLINK("Gene2965-zp_tree_all.dnd", "Gene2965-tree")</f>
        <v>Gene2965-tree</v>
      </c>
      <c r="L530">
        <v>3</v>
      </c>
      <c r="M530">
        <v>2</v>
      </c>
      <c r="N530">
        <v>2</v>
      </c>
      <c r="O530">
        <v>2</v>
      </c>
      <c r="P530">
        <v>0.5</v>
      </c>
      <c r="Q530" t="s">
        <v>185</v>
      </c>
      <c r="R530" t="s">
        <v>124</v>
      </c>
      <c r="S530" t="s">
        <v>66</v>
      </c>
      <c r="T530" t="s">
        <v>66</v>
      </c>
      <c r="U530">
        <v>0</v>
      </c>
      <c r="V530">
        <v>0</v>
      </c>
      <c r="W530">
        <v>7</v>
      </c>
      <c r="X530">
        <v>0</v>
      </c>
      <c r="Y530">
        <v>0</v>
      </c>
      <c r="Z530">
        <v>0</v>
      </c>
      <c r="AA530">
        <v>0</v>
      </c>
      <c r="AB530">
        <v>4</v>
      </c>
      <c r="AC530">
        <v>0</v>
      </c>
      <c r="AD530">
        <v>0</v>
      </c>
      <c r="AE530">
        <v>0</v>
      </c>
      <c r="AF530">
        <v>0</v>
      </c>
      <c r="AG530">
        <v>3</v>
      </c>
      <c r="AH530">
        <v>0</v>
      </c>
      <c r="AI530">
        <v>4</v>
      </c>
      <c r="AJ530">
        <v>1</v>
      </c>
      <c r="AK530">
        <v>19</v>
      </c>
      <c r="AL530">
        <v>3</v>
      </c>
      <c r="AM530">
        <v>38</v>
      </c>
      <c r="AN530">
        <v>5</v>
      </c>
      <c r="AO530" t="s">
        <v>2950</v>
      </c>
      <c r="AP530" t="s">
        <v>2951</v>
      </c>
      <c r="AQ530">
        <v>0.32500000000000001</v>
      </c>
      <c r="AR530" t="s">
        <v>69</v>
      </c>
      <c r="AS530">
        <v>57</v>
      </c>
      <c r="AT530">
        <v>8</v>
      </c>
      <c r="AU530">
        <v>3.524E-2</v>
      </c>
      <c r="AV530">
        <v>-7.4200000000000004E-3</v>
      </c>
      <c r="AW530">
        <v>0.1484</v>
      </c>
      <c r="AX530">
        <v>-3.2419999999999997E-2</v>
      </c>
      <c r="AY530">
        <v>5.6899999999999997E-3</v>
      </c>
      <c r="AZ530">
        <v>-1.23E-3</v>
      </c>
      <c r="BA530">
        <v>3.8379999999999997E-2</v>
      </c>
      <c r="BB530">
        <v>1</v>
      </c>
      <c r="BC530" t="s">
        <v>70</v>
      </c>
      <c r="BD530">
        <v>0.95599999999999996</v>
      </c>
      <c r="BE530">
        <v>0.85699999999999998</v>
      </c>
      <c r="BF530" t="s">
        <v>71</v>
      </c>
      <c r="BG530">
        <v>3.2755298651252401E-2</v>
      </c>
      <c r="BI530">
        <v>65</v>
      </c>
      <c r="BJ530">
        <v>3.8379999999999997E-2</v>
      </c>
      <c r="BK530">
        <v>3.2755298651252401E-2</v>
      </c>
    </row>
    <row r="531" spans="1:63">
      <c r="A531">
        <v>2970</v>
      </c>
      <c r="B531" t="s">
        <v>2952</v>
      </c>
      <c r="D531" t="s">
        <v>66</v>
      </c>
      <c r="E531">
        <v>2986591</v>
      </c>
      <c r="F531">
        <v>2987547</v>
      </c>
      <c r="G531" t="s">
        <v>2954</v>
      </c>
      <c r="H531">
        <v>319</v>
      </c>
      <c r="I531" t="s">
        <v>63</v>
      </c>
      <c r="J531">
        <v>5</v>
      </c>
      <c r="K531" t="str">
        <f>HYPERLINK("Gene2970-zp_tree_all.dnd", "Gene2970-tree")</f>
        <v>Gene2970-tree</v>
      </c>
      <c r="L531">
        <v>5</v>
      </c>
      <c r="M531">
        <v>0</v>
      </c>
      <c r="N531">
        <v>5</v>
      </c>
      <c r="O531">
        <v>0</v>
      </c>
      <c r="P531">
        <v>0</v>
      </c>
      <c r="Q531" t="s">
        <v>96</v>
      </c>
      <c r="R531" t="s">
        <v>66</v>
      </c>
      <c r="S531" t="s">
        <v>66</v>
      </c>
      <c r="T531" t="s">
        <v>66</v>
      </c>
      <c r="U531">
        <v>0</v>
      </c>
      <c r="V531">
        <v>0</v>
      </c>
      <c r="W531">
        <v>2</v>
      </c>
      <c r="X531">
        <v>0</v>
      </c>
      <c r="Y531">
        <v>0</v>
      </c>
      <c r="Z531">
        <v>0</v>
      </c>
      <c r="AA531">
        <v>0</v>
      </c>
      <c r="AB531">
        <v>2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5</v>
      </c>
      <c r="AJ531">
        <v>2</v>
      </c>
      <c r="AK531">
        <v>19</v>
      </c>
      <c r="AL531">
        <v>0</v>
      </c>
      <c r="AM531">
        <v>29</v>
      </c>
      <c r="AN531">
        <v>2</v>
      </c>
      <c r="AO531" t="s">
        <v>68</v>
      </c>
      <c r="AP531" t="s">
        <v>2955</v>
      </c>
      <c r="AQ531">
        <v>0.91400000000000003</v>
      </c>
      <c r="AR531" t="s">
        <v>69</v>
      </c>
      <c r="AS531">
        <v>48</v>
      </c>
      <c r="AT531">
        <v>2</v>
      </c>
      <c r="AU531">
        <v>2.7040000000000002E-2</v>
      </c>
      <c r="AV531">
        <v>-4.5999999999999999E-3</v>
      </c>
      <c r="AW531">
        <v>0.11627999999999999</v>
      </c>
      <c r="AX531">
        <v>-1.984E-2</v>
      </c>
      <c r="AY531">
        <v>2.0799999999999998E-3</v>
      </c>
      <c r="AZ531">
        <v>-5.1999999999999995E-4</v>
      </c>
      <c r="BA531">
        <v>1.787E-2</v>
      </c>
      <c r="BB531">
        <v>1</v>
      </c>
      <c r="BC531" t="s">
        <v>70</v>
      </c>
      <c r="BD531">
        <v>0.73099999999999998</v>
      </c>
      <c r="BE531">
        <v>0.73099999999999998</v>
      </c>
      <c r="BF531" t="s">
        <v>71</v>
      </c>
      <c r="BG531">
        <v>0.18264840182648401</v>
      </c>
      <c r="BI531">
        <v>50</v>
      </c>
      <c r="BJ531">
        <v>1.787E-2</v>
      </c>
      <c r="BK531">
        <v>0.18264840182648401</v>
      </c>
    </row>
    <row r="532" spans="1:63">
      <c r="A532">
        <v>2971</v>
      </c>
      <c r="B532" t="s">
        <v>2956</v>
      </c>
      <c r="D532" t="s">
        <v>66</v>
      </c>
      <c r="E532">
        <v>2987734</v>
      </c>
      <c r="F532">
        <v>2988708</v>
      </c>
      <c r="G532" t="s">
        <v>2958</v>
      </c>
      <c r="H532">
        <v>325</v>
      </c>
      <c r="I532" t="s">
        <v>63</v>
      </c>
      <c r="J532">
        <v>5</v>
      </c>
      <c r="K532" t="str">
        <f>HYPERLINK("Gene2971-zp_tree_all.dnd", "Gene2971-tree")</f>
        <v>Gene2971-tree</v>
      </c>
      <c r="L532">
        <v>2</v>
      </c>
      <c r="M532">
        <v>3</v>
      </c>
      <c r="N532">
        <v>2</v>
      </c>
      <c r="O532">
        <v>3</v>
      </c>
      <c r="P532">
        <v>0.6</v>
      </c>
      <c r="Q532" t="s">
        <v>124</v>
      </c>
      <c r="R532" t="s">
        <v>86</v>
      </c>
      <c r="S532" t="s">
        <v>66</v>
      </c>
      <c r="T532" t="s">
        <v>66</v>
      </c>
      <c r="U532">
        <v>0</v>
      </c>
      <c r="V532">
        <v>0</v>
      </c>
      <c r="W532">
        <v>6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G532">
        <v>5</v>
      </c>
      <c r="AH532">
        <v>0</v>
      </c>
      <c r="AI532">
        <v>5</v>
      </c>
      <c r="AJ532">
        <v>2</v>
      </c>
      <c r="AK532">
        <v>21</v>
      </c>
      <c r="AL532">
        <v>5</v>
      </c>
      <c r="AM532">
        <v>25</v>
      </c>
      <c r="AN532">
        <v>1</v>
      </c>
      <c r="AO532" t="s">
        <v>2959</v>
      </c>
      <c r="AP532" t="s">
        <v>2960</v>
      </c>
      <c r="AQ532">
        <v>1.0980000000000001</v>
      </c>
      <c r="AR532" t="s">
        <v>69</v>
      </c>
      <c r="AS532">
        <v>46</v>
      </c>
      <c r="AT532">
        <v>6</v>
      </c>
      <c r="AU532">
        <v>2.6259999999999999E-2</v>
      </c>
      <c r="AV532">
        <v>-3.7699999999999999E-3</v>
      </c>
      <c r="AW532">
        <v>0.1135</v>
      </c>
      <c r="AX532">
        <v>-1.7659999999999999E-2</v>
      </c>
      <c r="AY532">
        <v>3.46E-3</v>
      </c>
      <c r="AZ532">
        <v>-6.3000000000000003E-4</v>
      </c>
      <c r="BA532">
        <v>3.0519999999999999E-2</v>
      </c>
      <c r="BB532">
        <v>1</v>
      </c>
      <c r="BC532" t="s">
        <v>70</v>
      </c>
      <c r="BD532">
        <v>0.503</v>
      </c>
      <c r="BE532">
        <v>0.189</v>
      </c>
      <c r="BF532" t="s">
        <v>71</v>
      </c>
      <c r="BG532">
        <v>0.103139013452914</v>
      </c>
      <c r="BI532">
        <v>52</v>
      </c>
      <c r="BJ532">
        <v>3.0519999999999999E-2</v>
      </c>
      <c r="BK532">
        <v>0.103139013452914</v>
      </c>
    </row>
    <row r="533" spans="1:63">
      <c r="A533">
        <v>2972</v>
      </c>
      <c r="B533" t="s">
        <v>2961</v>
      </c>
      <c r="D533" t="s">
        <v>66</v>
      </c>
      <c r="E533">
        <v>2988696</v>
      </c>
      <c r="F533">
        <v>2989565</v>
      </c>
      <c r="G533" t="s">
        <v>2963</v>
      </c>
      <c r="H533">
        <v>290</v>
      </c>
      <c r="I533" t="s">
        <v>63</v>
      </c>
      <c r="J533">
        <v>5</v>
      </c>
      <c r="K533" t="str">
        <f>HYPERLINK("Gene2972-zp_tree_all.dnd", "Gene2972-tree")</f>
        <v>Gene2972-tree</v>
      </c>
      <c r="L533">
        <v>3</v>
      </c>
      <c r="M533">
        <v>2</v>
      </c>
      <c r="N533">
        <v>3</v>
      </c>
      <c r="O533">
        <v>2</v>
      </c>
      <c r="P533">
        <v>0.4</v>
      </c>
      <c r="Q533" t="s">
        <v>86</v>
      </c>
      <c r="R533" t="s">
        <v>124</v>
      </c>
      <c r="S533" t="s">
        <v>66</v>
      </c>
      <c r="T533" t="s">
        <v>66</v>
      </c>
      <c r="U533">
        <v>0</v>
      </c>
      <c r="V533">
        <v>0</v>
      </c>
      <c r="W533">
        <v>2</v>
      </c>
      <c r="X533">
        <v>0</v>
      </c>
      <c r="Y533">
        <v>0</v>
      </c>
      <c r="Z533">
        <v>0</v>
      </c>
      <c r="AA533">
        <v>0</v>
      </c>
      <c r="AB533">
        <v>2</v>
      </c>
      <c r="AC533">
        <v>0</v>
      </c>
      <c r="AD533">
        <v>0</v>
      </c>
      <c r="AE533">
        <v>0</v>
      </c>
      <c r="AF533">
        <v>0</v>
      </c>
      <c r="AG533">
        <v>2</v>
      </c>
      <c r="AH533">
        <v>0</v>
      </c>
      <c r="AI533">
        <v>4</v>
      </c>
      <c r="AJ533">
        <v>2</v>
      </c>
      <c r="AK533">
        <v>14</v>
      </c>
      <c r="AL533">
        <v>2</v>
      </c>
      <c r="AM533">
        <v>18</v>
      </c>
      <c r="AN533">
        <v>1</v>
      </c>
      <c r="AO533" t="s">
        <v>2964</v>
      </c>
      <c r="AP533" t="s">
        <v>2965</v>
      </c>
      <c r="AQ533">
        <v>0.878</v>
      </c>
      <c r="AR533" t="s">
        <v>69</v>
      </c>
      <c r="AS533">
        <v>32</v>
      </c>
      <c r="AT533">
        <v>3</v>
      </c>
      <c r="AU533">
        <v>1.9769999999999999E-2</v>
      </c>
      <c r="AV533">
        <v>-2.96E-3</v>
      </c>
      <c r="AW533">
        <v>9.3390000000000001E-2</v>
      </c>
      <c r="AX533">
        <v>-1.4659999999999999E-2</v>
      </c>
      <c r="AY533">
        <v>1.6100000000000001E-3</v>
      </c>
      <c r="AZ533">
        <v>-2.5000000000000001E-4</v>
      </c>
      <c r="BA533">
        <v>1.7239999999999998E-2</v>
      </c>
      <c r="BB533">
        <v>1</v>
      </c>
      <c r="BC533" t="s">
        <v>70</v>
      </c>
      <c r="BD533">
        <v>0.64300000000000002</v>
      </c>
      <c r="BE533">
        <v>0.17</v>
      </c>
      <c r="BF533" t="s">
        <v>71</v>
      </c>
      <c r="BG533">
        <v>0.138381201044386</v>
      </c>
      <c r="BI533">
        <v>35</v>
      </c>
      <c r="BJ533">
        <v>1.7239999999999998E-2</v>
      </c>
      <c r="BK533">
        <v>0.138381201044386</v>
      </c>
    </row>
    <row r="534" spans="1:63">
      <c r="A534">
        <v>2978</v>
      </c>
      <c r="B534" t="s">
        <v>2973</v>
      </c>
      <c r="D534" t="s">
        <v>66</v>
      </c>
      <c r="E534">
        <v>2995911</v>
      </c>
      <c r="F534">
        <v>2996849</v>
      </c>
      <c r="G534" t="s">
        <v>2975</v>
      </c>
      <c r="H534">
        <v>313</v>
      </c>
      <c r="I534" t="s">
        <v>63</v>
      </c>
      <c r="J534">
        <v>5</v>
      </c>
      <c r="K534" t="str">
        <f>HYPERLINK("Gene2978-zp_tree_all.dnd", "Gene2978-tree")</f>
        <v>Gene2978-tree</v>
      </c>
      <c r="L534">
        <v>3</v>
      </c>
      <c r="M534">
        <v>2</v>
      </c>
      <c r="N534">
        <v>3</v>
      </c>
      <c r="O534">
        <v>2</v>
      </c>
      <c r="P534">
        <v>0.4</v>
      </c>
      <c r="Q534" t="s">
        <v>86</v>
      </c>
      <c r="R534" t="s">
        <v>124</v>
      </c>
      <c r="S534" t="s">
        <v>66</v>
      </c>
      <c r="T534" t="s">
        <v>66</v>
      </c>
      <c r="U534">
        <v>1</v>
      </c>
      <c r="V534">
        <v>2</v>
      </c>
      <c r="W534">
        <v>3</v>
      </c>
      <c r="X534">
        <v>0.4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2</v>
      </c>
      <c r="AF534">
        <v>2</v>
      </c>
      <c r="AG534">
        <v>3</v>
      </c>
      <c r="AH534">
        <v>0.4</v>
      </c>
      <c r="AI534">
        <v>5</v>
      </c>
      <c r="AJ534">
        <v>2</v>
      </c>
      <c r="AK534">
        <v>18</v>
      </c>
      <c r="AL534">
        <v>4</v>
      </c>
      <c r="AM534">
        <v>22</v>
      </c>
      <c r="AN534">
        <v>2</v>
      </c>
      <c r="AO534" t="s">
        <v>2976</v>
      </c>
      <c r="AP534" t="s">
        <v>2977</v>
      </c>
      <c r="AQ534">
        <v>0.46600000000000003</v>
      </c>
      <c r="AR534" t="s">
        <v>69</v>
      </c>
      <c r="AS534">
        <v>40</v>
      </c>
      <c r="AT534">
        <v>6</v>
      </c>
      <c r="AU534">
        <v>2.3429999999999999E-2</v>
      </c>
      <c r="AV534">
        <v>-4.1700000000000001E-3</v>
      </c>
      <c r="AW534">
        <v>9.4460000000000002E-2</v>
      </c>
      <c r="AX534">
        <v>-1.7049999999999999E-2</v>
      </c>
      <c r="AY534">
        <v>3.9100000000000003E-3</v>
      </c>
      <c r="AZ534">
        <v>-8.8000000000000003E-4</v>
      </c>
      <c r="BA534">
        <v>4.1419999999999998E-2</v>
      </c>
      <c r="BB534">
        <v>1</v>
      </c>
      <c r="BC534" t="s">
        <v>70</v>
      </c>
      <c r="BD534">
        <v>0.68700000000000006</v>
      </c>
      <c r="BE534">
        <v>0.16400000000000001</v>
      </c>
      <c r="BF534" t="s">
        <v>71</v>
      </c>
      <c r="BG534">
        <v>4.4917257683215098E-2</v>
      </c>
      <c r="BI534">
        <v>46</v>
      </c>
      <c r="BJ534">
        <v>4.1419999999999998E-2</v>
      </c>
      <c r="BK534">
        <v>4.4917257683215098E-2</v>
      </c>
    </row>
    <row r="535" spans="1:63">
      <c r="A535">
        <v>2994</v>
      </c>
      <c r="B535" t="s">
        <v>2982</v>
      </c>
      <c r="D535" t="s">
        <v>66</v>
      </c>
      <c r="E535">
        <v>3009918</v>
      </c>
      <c r="F535">
        <v>3010598</v>
      </c>
      <c r="G535" t="s">
        <v>2984</v>
      </c>
      <c r="H535">
        <v>227</v>
      </c>
      <c r="I535" t="s">
        <v>85</v>
      </c>
      <c r="J535">
        <v>4</v>
      </c>
      <c r="K535" t="str">
        <f>HYPERLINK("Gene2994-zp_tree_all.dnd", "Gene2994-tree")</f>
        <v>Gene2994-tree</v>
      </c>
      <c r="L535">
        <v>3</v>
      </c>
      <c r="M535">
        <v>1</v>
      </c>
      <c r="N535">
        <v>3</v>
      </c>
      <c r="O535">
        <v>1</v>
      </c>
      <c r="P535">
        <v>0.25</v>
      </c>
      <c r="Q535" t="s">
        <v>86</v>
      </c>
      <c r="R535" t="s">
        <v>65</v>
      </c>
      <c r="S535" t="s">
        <v>66</v>
      </c>
      <c r="T535" t="s">
        <v>66</v>
      </c>
      <c r="U535">
        <v>0</v>
      </c>
      <c r="V535">
        <v>0</v>
      </c>
      <c r="W535">
        <v>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3</v>
      </c>
      <c r="AH535">
        <v>0</v>
      </c>
      <c r="AI535">
        <v>3</v>
      </c>
      <c r="AJ535">
        <v>1</v>
      </c>
      <c r="AK535">
        <v>31</v>
      </c>
      <c r="AL535">
        <v>3</v>
      </c>
      <c r="AM535">
        <v>5</v>
      </c>
      <c r="AN535">
        <v>0</v>
      </c>
      <c r="AO535" t="s">
        <v>2985</v>
      </c>
      <c r="AP535" t="s">
        <v>68</v>
      </c>
      <c r="AQ535">
        <v>0.51400000000000001</v>
      </c>
      <c r="AR535" t="s">
        <v>69</v>
      </c>
      <c r="AS535">
        <v>36</v>
      </c>
      <c r="AT535">
        <v>3</v>
      </c>
      <c r="AU535">
        <v>2.8879999999999999E-2</v>
      </c>
      <c r="AV535">
        <v>-8.6999999999999994E-3</v>
      </c>
      <c r="AW535">
        <v>0.13408</v>
      </c>
      <c r="AX535">
        <v>-4.0739999999999998E-2</v>
      </c>
      <c r="AY535">
        <v>2.8600000000000001E-3</v>
      </c>
      <c r="AZ535">
        <v>-1.17E-3</v>
      </c>
      <c r="BA535">
        <v>2.1350000000000001E-2</v>
      </c>
      <c r="BB535">
        <v>1</v>
      </c>
      <c r="BC535" t="s">
        <v>70</v>
      </c>
      <c r="BD535">
        <v>-0.26500000000000001</v>
      </c>
      <c r="BE535">
        <v>-0.52200000000000002</v>
      </c>
      <c r="BF535" t="s">
        <v>71</v>
      </c>
      <c r="BG535">
        <v>1.54798761609907E-2</v>
      </c>
      <c r="BI535">
        <v>39</v>
      </c>
      <c r="BJ535">
        <v>2.1350000000000001E-2</v>
      </c>
      <c r="BK535">
        <v>1.54798761609907E-2</v>
      </c>
    </row>
    <row r="536" spans="1:63">
      <c r="A536">
        <v>2995</v>
      </c>
      <c r="B536" t="s">
        <v>2986</v>
      </c>
      <c r="D536" t="s">
        <v>66</v>
      </c>
      <c r="E536">
        <v>3010664</v>
      </c>
      <c r="F536">
        <v>3011428</v>
      </c>
      <c r="G536" t="s">
        <v>2639</v>
      </c>
      <c r="H536">
        <v>255</v>
      </c>
      <c r="I536" t="s">
        <v>63</v>
      </c>
      <c r="J536">
        <v>5</v>
      </c>
      <c r="K536" t="str">
        <f>HYPERLINK("Gene2995-zp_tree_all.dnd", "Gene2995-tree")</f>
        <v>Gene2995-tree</v>
      </c>
      <c r="L536">
        <v>3</v>
      </c>
      <c r="M536">
        <v>2</v>
      </c>
      <c r="N536">
        <v>3</v>
      </c>
      <c r="O536">
        <v>2</v>
      </c>
      <c r="P536">
        <v>0.4</v>
      </c>
      <c r="Q536" t="s">
        <v>86</v>
      </c>
      <c r="R536" t="s">
        <v>124</v>
      </c>
      <c r="S536" t="s">
        <v>66</v>
      </c>
      <c r="T536" t="s">
        <v>66</v>
      </c>
      <c r="U536">
        <v>0</v>
      </c>
      <c r="V536">
        <v>0</v>
      </c>
      <c r="W536">
        <v>3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3</v>
      </c>
      <c r="AH536">
        <v>0</v>
      </c>
      <c r="AI536">
        <v>5</v>
      </c>
      <c r="AJ536">
        <v>2</v>
      </c>
      <c r="AK536">
        <v>25</v>
      </c>
      <c r="AL536">
        <v>2</v>
      </c>
      <c r="AM536">
        <v>15</v>
      </c>
      <c r="AN536">
        <v>1</v>
      </c>
      <c r="AO536" t="s">
        <v>2988</v>
      </c>
      <c r="AP536" t="s">
        <v>2989</v>
      </c>
      <c r="AQ536">
        <v>0.14199999999999999</v>
      </c>
      <c r="AR536" t="s">
        <v>69</v>
      </c>
      <c r="AS536">
        <v>40</v>
      </c>
      <c r="AT536">
        <v>3</v>
      </c>
      <c r="AU536">
        <v>2.6409999999999999E-2</v>
      </c>
      <c r="AV536">
        <v>-4.0299999999999997E-3</v>
      </c>
      <c r="AW536">
        <v>0.11508</v>
      </c>
      <c r="AX536">
        <v>-1.788E-2</v>
      </c>
      <c r="AY536">
        <v>2.3999999999999998E-3</v>
      </c>
      <c r="AZ536">
        <v>-5.0000000000000001E-4</v>
      </c>
      <c r="BA536">
        <v>2.0820000000000002E-2</v>
      </c>
      <c r="BB536">
        <v>1</v>
      </c>
      <c r="BC536" t="s">
        <v>70</v>
      </c>
      <c r="BD536">
        <v>1.4999999999999999E-2</v>
      </c>
      <c r="BE536">
        <v>1.4999999999999999E-2</v>
      </c>
      <c r="BF536" t="s">
        <v>71</v>
      </c>
      <c r="BG536">
        <v>0.13407821229050201</v>
      </c>
      <c r="BI536">
        <v>43</v>
      </c>
      <c r="BJ536">
        <v>2.0820000000000002E-2</v>
      </c>
      <c r="BK536">
        <v>0.13407821229050201</v>
      </c>
    </row>
    <row r="537" spans="1:63">
      <c r="A537">
        <v>2995</v>
      </c>
      <c r="B537" t="s">
        <v>2986</v>
      </c>
      <c r="D537" t="s">
        <v>66</v>
      </c>
      <c r="E537">
        <v>3010664</v>
      </c>
      <c r="F537">
        <v>3011428</v>
      </c>
      <c r="G537" t="s">
        <v>2639</v>
      </c>
      <c r="H537">
        <v>255</v>
      </c>
      <c r="I537" t="s">
        <v>63</v>
      </c>
      <c r="J537">
        <v>5</v>
      </c>
      <c r="K537" t="str">
        <f>HYPERLINK("Gene2995-zp_tree_all.dnd", "Gene2995-tree")</f>
        <v>Gene2995-tree</v>
      </c>
      <c r="L537">
        <v>3</v>
      </c>
      <c r="M537">
        <v>2</v>
      </c>
      <c r="N537">
        <v>3</v>
      </c>
      <c r="O537">
        <v>2</v>
      </c>
      <c r="P537">
        <v>0.4</v>
      </c>
      <c r="Q537" t="s">
        <v>86</v>
      </c>
      <c r="R537" t="s">
        <v>124</v>
      </c>
      <c r="S537" t="s">
        <v>66</v>
      </c>
      <c r="T537" t="s">
        <v>66</v>
      </c>
      <c r="U537">
        <v>0</v>
      </c>
      <c r="V537">
        <v>0</v>
      </c>
      <c r="W537">
        <v>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3</v>
      </c>
      <c r="AH537">
        <v>0</v>
      </c>
      <c r="AI537">
        <v>5</v>
      </c>
      <c r="AJ537">
        <v>2</v>
      </c>
      <c r="AK537">
        <v>25</v>
      </c>
      <c r="AL537">
        <v>2</v>
      </c>
      <c r="AM537">
        <v>15</v>
      </c>
      <c r="AN537">
        <v>1</v>
      </c>
      <c r="AO537" t="s">
        <v>2988</v>
      </c>
      <c r="AP537" t="s">
        <v>2989</v>
      </c>
      <c r="AQ537">
        <v>0.14199999999999999</v>
      </c>
      <c r="AR537" t="s">
        <v>69</v>
      </c>
      <c r="AS537">
        <v>40</v>
      </c>
      <c r="AT537">
        <v>3</v>
      </c>
      <c r="AU537">
        <v>2.6409999999999999E-2</v>
      </c>
      <c r="AV537">
        <v>-4.0299999999999997E-3</v>
      </c>
      <c r="AW537">
        <v>0.11508</v>
      </c>
      <c r="AX537">
        <v>-1.788E-2</v>
      </c>
      <c r="AY537">
        <v>2.3999999999999998E-3</v>
      </c>
      <c r="AZ537">
        <v>-5.0000000000000001E-4</v>
      </c>
      <c r="BA537">
        <v>2.0820000000000002E-2</v>
      </c>
      <c r="BB537">
        <v>1</v>
      </c>
      <c r="BC537" t="s">
        <v>70</v>
      </c>
      <c r="BD537">
        <v>1.4999999999999999E-2</v>
      </c>
      <c r="BE537">
        <v>1.4999999999999999E-2</v>
      </c>
      <c r="BF537" t="s">
        <v>71</v>
      </c>
      <c r="BG537">
        <v>0.13407821229050201</v>
      </c>
      <c r="BI537">
        <v>43</v>
      </c>
      <c r="BJ537">
        <v>2.0820000000000002E-2</v>
      </c>
      <c r="BK537">
        <v>0.13407821229050201</v>
      </c>
    </row>
    <row r="538" spans="1:63">
      <c r="A538">
        <v>2995</v>
      </c>
      <c r="B538" t="s">
        <v>2986</v>
      </c>
      <c r="D538" t="s">
        <v>66</v>
      </c>
      <c r="E538">
        <v>3010664</v>
      </c>
      <c r="F538">
        <v>3011428</v>
      </c>
      <c r="G538" t="s">
        <v>2639</v>
      </c>
      <c r="H538">
        <v>255</v>
      </c>
      <c r="I538" t="s">
        <v>63</v>
      </c>
      <c r="J538">
        <v>5</v>
      </c>
      <c r="K538" t="str">
        <f>HYPERLINK("Gene2995-zp_tree_all.dnd", "Gene2995-tree")</f>
        <v>Gene2995-tree</v>
      </c>
      <c r="L538">
        <v>3</v>
      </c>
      <c r="M538">
        <v>2</v>
      </c>
      <c r="N538">
        <v>3</v>
      </c>
      <c r="O538">
        <v>2</v>
      </c>
      <c r="P538">
        <v>0.4</v>
      </c>
      <c r="Q538" t="s">
        <v>86</v>
      </c>
      <c r="R538" t="s">
        <v>124</v>
      </c>
      <c r="S538" t="s">
        <v>66</v>
      </c>
      <c r="T538" t="s">
        <v>66</v>
      </c>
      <c r="U538">
        <v>0</v>
      </c>
      <c r="V538">
        <v>0</v>
      </c>
      <c r="W538">
        <v>3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3</v>
      </c>
      <c r="AH538">
        <v>0</v>
      </c>
      <c r="AI538">
        <v>5</v>
      </c>
      <c r="AJ538">
        <v>2</v>
      </c>
      <c r="AK538">
        <v>25</v>
      </c>
      <c r="AL538">
        <v>2</v>
      </c>
      <c r="AM538">
        <v>15</v>
      </c>
      <c r="AN538">
        <v>1</v>
      </c>
      <c r="AO538" t="s">
        <v>2988</v>
      </c>
      <c r="AP538" t="s">
        <v>2989</v>
      </c>
      <c r="AQ538">
        <v>0.14199999999999999</v>
      </c>
      <c r="AR538" t="s">
        <v>69</v>
      </c>
      <c r="AS538">
        <v>40</v>
      </c>
      <c r="AT538">
        <v>3</v>
      </c>
      <c r="AU538">
        <v>2.6409999999999999E-2</v>
      </c>
      <c r="AV538">
        <v>-4.0299999999999997E-3</v>
      </c>
      <c r="AW538">
        <v>0.11508</v>
      </c>
      <c r="AX538">
        <v>-1.788E-2</v>
      </c>
      <c r="AY538">
        <v>2.3999999999999998E-3</v>
      </c>
      <c r="AZ538">
        <v>-5.0000000000000001E-4</v>
      </c>
      <c r="BA538">
        <v>2.0820000000000002E-2</v>
      </c>
      <c r="BB538">
        <v>1</v>
      </c>
      <c r="BC538" t="s">
        <v>70</v>
      </c>
      <c r="BD538">
        <v>1.4999999999999999E-2</v>
      </c>
      <c r="BE538">
        <v>1.4999999999999999E-2</v>
      </c>
      <c r="BF538" t="s">
        <v>71</v>
      </c>
      <c r="BG538">
        <v>0.13407821229050201</v>
      </c>
      <c r="BI538">
        <v>43</v>
      </c>
      <c r="BJ538">
        <v>2.0820000000000002E-2</v>
      </c>
      <c r="BK538">
        <v>0.13407821229050201</v>
      </c>
    </row>
    <row r="539" spans="1:63">
      <c r="A539">
        <v>2995</v>
      </c>
      <c r="B539" t="s">
        <v>2986</v>
      </c>
      <c r="D539" t="s">
        <v>66</v>
      </c>
      <c r="E539">
        <v>3010664</v>
      </c>
      <c r="F539">
        <v>3011428</v>
      </c>
      <c r="G539" t="s">
        <v>2639</v>
      </c>
      <c r="H539">
        <v>255</v>
      </c>
      <c r="I539" t="s">
        <v>63</v>
      </c>
      <c r="J539">
        <v>5</v>
      </c>
      <c r="K539" t="str">
        <f>HYPERLINK("Gene2995-zp_tree_all.dnd", "Gene2995-tree")</f>
        <v>Gene2995-tree</v>
      </c>
      <c r="L539">
        <v>3</v>
      </c>
      <c r="M539">
        <v>2</v>
      </c>
      <c r="N539">
        <v>3</v>
      </c>
      <c r="O539">
        <v>2</v>
      </c>
      <c r="P539">
        <v>0.4</v>
      </c>
      <c r="Q539" t="s">
        <v>86</v>
      </c>
      <c r="R539" t="s">
        <v>124</v>
      </c>
      <c r="S539" t="s">
        <v>66</v>
      </c>
      <c r="T539" t="s">
        <v>66</v>
      </c>
      <c r="U539">
        <v>0</v>
      </c>
      <c r="V539">
        <v>0</v>
      </c>
      <c r="W539">
        <v>3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3</v>
      </c>
      <c r="AH539">
        <v>0</v>
      </c>
      <c r="AI539">
        <v>5</v>
      </c>
      <c r="AJ539">
        <v>2</v>
      </c>
      <c r="AK539">
        <v>25</v>
      </c>
      <c r="AL539">
        <v>2</v>
      </c>
      <c r="AM539">
        <v>15</v>
      </c>
      <c r="AN539">
        <v>1</v>
      </c>
      <c r="AO539" t="s">
        <v>2988</v>
      </c>
      <c r="AP539" t="s">
        <v>2989</v>
      </c>
      <c r="AQ539">
        <v>0.14199999999999999</v>
      </c>
      <c r="AR539" t="s">
        <v>69</v>
      </c>
      <c r="AS539">
        <v>40</v>
      </c>
      <c r="AT539">
        <v>3</v>
      </c>
      <c r="AU539">
        <v>2.6409999999999999E-2</v>
      </c>
      <c r="AV539">
        <v>-4.0299999999999997E-3</v>
      </c>
      <c r="AW539">
        <v>0.11508</v>
      </c>
      <c r="AX539">
        <v>-1.788E-2</v>
      </c>
      <c r="AY539">
        <v>2.3999999999999998E-3</v>
      </c>
      <c r="AZ539">
        <v>-5.0000000000000001E-4</v>
      </c>
      <c r="BA539">
        <v>2.0820000000000002E-2</v>
      </c>
      <c r="BB539">
        <v>1</v>
      </c>
      <c r="BC539" t="s">
        <v>70</v>
      </c>
      <c r="BD539">
        <v>1.4999999999999999E-2</v>
      </c>
      <c r="BE539">
        <v>1.4999999999999999E-2</v>
      </c>
      <c r="BF539" t="s">
        <v>71</v>
      </c>
      <c r="BG539">
        <v>0.13407821229050201</v>
      </c>
      <c r="BI539">
        <v>43</v>
      </c>
      <c r="BJ539">
        <v>2.0820000000000002E-2</v>
      </c>
      <c r="BK539">
        <v>0.13407821229050201</v>
      </c>
    </row>
    <row r="540" spans="1:63">
      <c r="A540">
        <v>2996</v>
      </c>
      <c r="B540" t="s">
        <v>2990</v>
      </c>
      <c r="D540" t="s">
        <v>66</v>
      </c>
      <c r="E540">
        <v>3011558</v>
      </c>
      <c r="F540">
        <v>3011689</v>
      </c>
      <c r="G540" t="s">
        <v>74</v>
      </c>
      <c r="H540">
        <v>44</v>
      </c>
      <c r="I540" t="s">
        <v>1308</v>
      </c>
      <c r="J540">
        <v>4</v>
      </c>
      <c r="K540" t="str">
        <f>HYPERLINK("Gene2996-zp_tree_all.dnd", "Gene2996-tree")</f>
        <v>Gene2996-tree</v>
      </c>
      <c r="L540">
        <v>4</v>
      </c>
      <c r="M540">
        <v>0</v>
      </c>
      <c r="N540">
        <v>4</v>
      </c>
      <c r="O540">
        <v>0</v>
      </c>
      <c r="P540">
        <v>0</v>
      </c>
      <c r="Q540" t="s">
        <v>64</v>
      </c>
      <c r="R540" t="s">
        <v>66</v>
      </c>
      <c r="S540" t="s">
        <v>66</v>
      </c>
      <c r="T540" t="s">
        <v>66</v>
      </c>
      <c r="U540">
        <v>0</v>
      </c>
      <c r="V540">
        <v>0</v>
      </c>
      <c r="W540">
        <v>3</v>
      </c>
      <c r="X540">
        <v>0</v>
      </c>
      <c r="Y540">
        <v>0</v>
      </c>
      <c r="Z540">
        <v>0</v>
      </c>
      <c r="AA540">
        <v>0</v>
      </c>
      <c r="AB540">
        <v>3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2</v>
      </c>
      <c r="AJ540">
        <v>1</v>
      </c>
      <c r="AK540">
        <v>2</v>
      </c>
      <c r="AL540">
        <v>0</v>
      </c>
      <c r="AM540">
        <v>1</v>
      </c>
      <c r="AN540">
        <v>3</v>
      </c>
      <c r="AO540" t="s">
        <v>68</v>
      </c>
      <c r="AP540" t="s">
        <v>2992</v>
      </c>
      <c r="AQ540">
        <v>0</v>
      </c>
      <c r="AR540" t="s">
        <v>69</v>
      </c>
      <c r="AS540">
        <v>3</v>
      </c>
      <c r="AT540">
        <v>3</v>
      </c>
      <c r="AU540">
        <v>2.8420000000000001E-2</v>
      </c>
      <c r="AV540">
        <v>-6.2399999999999999E-3</v>
      </c>
      <c r="AW540">
        <v>6.5030000000000004E-2</v>
      </c>
      <c r="AX540">
        <v>-1.2449999999999999E-2</v>
      </c>
      <c r="AY540">
        <v>0.02</v>
      </c>
      <c r="AZ540">
        <v>-4.7099999999999998E-3</v>
      </c>
      <c r="BA540">
        <v>0.30758000000000002</v>
      </c>
      <c r="BB540">
        <v>0.89700000000000002</v>
      </c>
      <c r="BC540" t="s">
        <v>188</v>
      </c>
      <c r="BD540">
        <v>1.1679999999999999</v>
      </c>
      <c r="BE540">
        <v>1.1679999999999999</v>
      </c>
      <c r="BF540" t="s">
        <v>71</v>
      </c>
      <c r="BG540">
        <v>7.4074074074074001E-2</v>
      </c>
      <c r="BI540">
        <v>6</v>
      </c>
      <c r="BJ540">
        <v>0.30758000000000002</v>
      </c>
      <c r="BK540">
        <v>7.4074074074074001E-2</v>
      </c>
    </row>
    <row r="541" spans="1:63">
      <c r="A541">
        <v>2998</v>
      </c>
      <c r="B541" t="s">
        <v>2993</v>
      </c>
      <c r="D541" t="s">
        <v>66</v>
      </c>
      <c r="E541">
        <v>3013136</v>
      </c>
      <c r="F541">
        <v>3014344</v>
      </c>
      <c r="G541" t="s">
        <v>2995</v>
      </c>
      <c r="H541">
        <v>403</v>
      </c>
      <c r="I541" t="s">
        <v>63</v>
      </c>
      <c r="J541">
        <v>5</v>
      </c>
      <c r="K541" t="str">
        <f>HYPERLINK("Gene2998-zp_tree_all.dnd", "Gene2998-tree")</f>
        <v>Gene2998-tree</v>
      </c>
      <c r="L541">
        <v>3</v>
      </c>
      <c r="M541">
        <v>2</v>
      </c>
      <c r="N541">
        <v>3</v>
      </c>
      <c r="O541">
        <v>2</v>
      </c>
      <c r="P541">
        <v>0.4</v>
      </c>
      <c r="Q541" t="s">
        <v>86</v>
      </c>
      <c r="R541" t="s">
        <v>124</v>
      </c>
      <c r="S541" t="s">
        <v>66</v>
      </c>
      <c r="T541" t="s">
        <v>66</v>
      </c>
      <c r="U541">
        <v>0</v>
      </c>
      <c r="V541">
        <v>0</v>
      </c>
      <c r="W541">
        <v>4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4</v>
      </c>
      <c r="AH541">
        <v>0</v>
      </c>
      <c r="AI541">
        <v>5</v>
      </c>
      <c r="AJ541">
        <v>2</v>
      </c>
      <c r="AK541">
        <v>51</v>
      </c>
      <c r="AL541">
        <v>4</v>
      </c>
      <c r="AM541">
        <v>35</v>
      </c>
      <c r="AN541">
        <v>0</v>
      </c>
      <c r="AO541" t="s">
        <v>2996</v>
      </c>
      <c r="AP541" t="s">
        <v>68</v>
      </c>
      <c r="AQ541">
        <v>0.97199999999999998</v>
      </c>
      <c r="AR541" t="s">
        <v>69</v>
      </c>
      <c r="AS541">
        <v>86</v>
      </c>
      <c r="AT541">
        <v>4</v>
      </c>
      <c r="AU541">
        <v>3.4000000000000002E-2</v>
      </c>
      <c r="AV541">
        <v>-4.7699999999999999E-3</v>
      </c>
      <c r="AW541">
        <v>0.15941</v>
      </c>
      <c r="AX541">
        <v>-2.3939999999999999E-2</v>
      </c>
      <c r="AY541">
        <v>1.73E-3</v>
      </c>
      <c r="AZ541">
        <v>-4.8999999999999998E-4</v>
      </c>
      <c r="BA541">
        <v>1.0840000000000001E-2</v>
      </c>
      <c r="BB541">
        <v>1</v>
      </c>
      <c r="BC541" t="s">
        <v>70</v>
      </c>
      <c r="BD541">
        <v>0.33500000000000002</v>
      </c>
      <c r="BE541">
        <v>8.5000000000000006E-2</v>
      </c>
      <c r="BF541" t="s">
        <v>71</v>
      </c>
      <c r="BG541">
        <v>6.6666666666666596E-2</v>
      </c>
      <c r="BI541">
        <v>90</v>
      </c>
      <c r="BJ541">
        <v>1.0840000000000001E-2</v>
      </c>
      <c r="BK541">
        <v>6.6666666666666596E-2</v>
      </c>
    </row>
    <row r="542" spans="1:63">
      <c r="A542">
        <v>3000</v>
      </c>
      <c r="B542" t="s">
        <v>2997</v>
      </c>
      <c r="D542" t="s">
        <v>66</v>
      </c>
      <c r="E542">
        <v>3015114</v>
      </c>
      <c r="F542">
        <v>3016298</v>
      </c>
      <c r="G542" t="s">
        <v>2999</v>
      </c>
      <c r="H542">
        <v>395</v>
      </c>
      <c r="I542" t="s">
        <v>63</v>
      </c>
      <c r="J542">
        <v>5</v>
      </c>
      <c r="K542" t="str">
        <f>HYPERLINK("Gene3000-zp_tree_all.dnd", "Gene3000-tree")</f>
        <v>Gene3000-tree</v>
      </c>
      <c r="L542">
        <v>5</v>
      </c>
      <c r="M542">
        <v>0</v>
      </c>
      <c r="N542">
        <v>5</v>
      </c>
      <c r="O542">
        <v>0</v>
      </c>
      <c r="P542">
        <v>0</v>
      </c>
      <c r="Q542" t="s">
        <v>96</v>
      </c>
      <c r="R542" t="s">
        <v>66</v>
      </c>
      <c r="S542" t="s">
        <v>66</v>
      </c>
      <c r="T542" t="s">
        <v>66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5</v>
      </c>
      <c r="AJ542">
        <v>2</v>
      </c>
      <c r="AK542">
        <v>44</v>
      </c>
      <c r="AL542">
        <v>0</v>
      </c>
      <c r="AM542">
        <v>30</v>
      </c>
      <c r="AN542">
        <v>0</v>
      </c>
      <c r="AO542" t="s">
        <v>68</v>
      </c>
      <c r="AP542" t="s">
        <v>68</v>
      </c>
      <c r="AQ542">
        <v>0</v>
      </c>
      <c r="AR542" t="s">
        <v>69</v>
      </c>
      <c r="AS542">
        <v>74</v>
      </c>
      <c r="AT542">
        <v>0</v>
      </c>
      <c r="AU542">
        <v>2.861E-2</v>
      </c>
      <c r="AV542">
        <v>-4.0000000000000001E-3</v>
      </c>
      <c r="AW542">
        <v>0.13519999999999999</v>
      </c>
      <c r="AX542">
        <v>-1.9910000000000001E-2</v>
      </c>
      <c r="AY542">
        <v>0</v>
      </c>
      <c r="AZ542">
        <v>0</v>
      </c>
      <c r="BA542">
        <v>0</v>
      </c>
      <c r="BB542">
        <v>1</v>
      </c>
      <c r="BC542" t="s">
        <v>70</v>
      </c>
      <c r="BD542">
        <v>0.41</v>
      </c>
      <c r="BE542">
        <v>8.9999999999999993E-3</v>
      </c>
      <c r="BF542" t="s">
        <v>71</v>
      </c>
      <c r="BG542">
        <v>3.1775700934579397E-2</v>
      </c>
      <c r="BI542">
        <v>74</v>
      </c>
      <c r="BJ542">
        <v>0</v>
      </c>
      <c r="BK542">
        <v>3.1775700934579397E-2</v>
      </c>
    </row>
    <row r="543" spans="1:63">
      <c r="A543">
        <v>3002</v>
      </c>
      <c r="B543" t="s">
        <v>3000</v>
      </c>
      <c r="D543" t="s">
        <v>66</v>
      </c>
      <c r="E543">
        <v>3017699</v>
      </c>
      <c r="F543">
        <v>3018199</v>
      </c>
      <c r="G543" t="s">
        <v>3002</v>
      </c>
      <c r="H543">
        <v>167</v>
      </c>
      <c r="I543" t="s">
        <v>63</v>
      </c>
      <c r="J543">
        <v>5</v>
      </c>
      <c r="K543" t="str">
        <f>HYPERLINK("Gene3002-zp_tree_all.dnd", "Gene3002-tree")</f>
        <v>Gene3002-tree</v>
      </c>
      <c r="L543">
        <v>4</v>
      </c>
      <c r="M543">
        <v>1</v>
      </c>
      <c r="N543">
        <v>4</v>
      </c>
      <c r="O543">
        <v>1</v>
      </c>
      <c r="P543">
        <v>0.2</v>
      </c>
      <c r="Q543" t="s">
        <v>64</v>
      </c>
      <c r="R543" t="s">
        <v>65</v>
      </c>
      <c r="S543" t="s">
        <v>66</v>
      </c>
      <c r="T543" t="s">
        <v>66</v>
      </c>
      <c r="U543">
        <v>0</v>
      </c>
      <c r="V543">
        <v>0</v>
      </c>
      <c r="W543">
        <v>1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1</v>
      </c>
      <c r="AH543">
        <v>0</v>
      </c>
      <c r="AI543">
        <v>3</v>
      </c>
      <c r="AJ543">
        <v>1</v>
      </c>
      <c r="AK543">
        <v>4</v>
      </c>
      <c r="AL543">
        <v>1</v>
      </c>
      <c r="AM543">
        <v>14</v>
      </c>
      <c r="AN543">
        <v>0</v>
      </c>
      <c r="AO543" t="s">
        <v>3003</v>
      </c>
      <c r="AP543" t="s">
        <v>68</v>
      </c>
      <c r="AQ543">
        <v>0.60099999999999998</v>
      </c>
      <c r="AR543" t="s">
        <v>69</v>
      </c>
      <c r="AS543">
        <v>18</v>
      </c>
      <c r="AT543">
        <v>1</v>
      </c>
      <c r="AU543">
        <v>2.0760000000000001E-2</v>
      </c>
      <c r="AV543">
        <v>-4.5399999999999998E-3</v>
      </c>
      <c r="AW543">
        <v>9.2520000000000005E-2</v>
      </c>
      <c r="AX543">
        <v>-2.1579999999999998E-2</v>
      </c>
      <c r="AY543">
        <v>1.0499999999999999E-3</v>
      </c>
      <c r="AZ543">
        <v>-3.6000000000000002E-4</v>
      </c>
      <c r="BA543">
        <v>1.133E-2</v>
      </c>
      <c r="BB543">
        <v>1</v>
      </c>
      <c r="BC543" t="s">
        <v>70</v>
      </c>
      <c r="BD543">
        <v>1.036</v>
      </c>
      <c r="BE543">
        <v>1.036</v>
      </c>
      <c r="BF543" t="s">
        <v>71</v>
      </c>
      <c r="BG543">
        <v>9.8214285714285698E-2</v>
      </c>
      <c r="BI543">
        <v>19</v>
      </c>
      <c r="BJ543">
        <v>1.133E-2</v>
      </c>
      <c r="BK543">
        <v>9.8214285714285698E-2</v>
      </c>
    </row>
    <row r="544" spans="1:63">
      <c r="A544">
        <v>3003</v>
      </c>
      <c r="B544" t="s">
        <v>3004</v>
      </c>
      <c r="D544" t="s">
        <v>66</v>
      </c>
      <c r="E544">
        <v>3018312</v>
      </c>
      <c r="F544">
        <v>3018764</v>
      </c>
      <c r="G544" t="s">
        <v>3006</v>
      </c>
      <c r="H544">
        <v>151</v>
      </c>
      <c r="I544" t="s">
        <v>106</v>
      </c>
      <c r="J544">
        <v>4</v>
      </c>
      <c r="K544" t="str">
        <f>HYPERLINK("Gene3003-zp_tree_all.dnd", "Gene3003-tree")</f>
        <v>Gene3003-tree</v>
      </c>
      <c r="L544">
        <v>3</v>
      </c>
      <c r="M544">
        <v>1</v>
      </c>
      <c r="N544">
        <v>3</v>
      </c>
      <c r="O544">
        <v>1</v>
      </c>
      <c r="P544">
        <v>0.25</v>
      </c>
      <c r="Q544" t="s">
        <v>86</v>
      </c>
      <c r="R544" t="s">
        <v>65</v>
      </c>
      <c r="S544" t="s">
        <v>66</v>
      </c>
      <c r="T544" t="s">
        <v>66</v>
      </c>
      <c r="U544">
        <v>0</v>
      </c>
      <c r="V544">
        <v>0</v>
      </c>
      <c r="W544">
        <v>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1</v>
      </c>
      <c r="AH544">
        <v>0</v>
      </c>
      <c r="AI544">
        <v>4</v>
      </c>
      <c r="AJ544">
        <v>1</v>
      </c>
      <c r="AK544">
        <v>21</v>
      </c>
      <c r="AL544">
        <v>1</v>
      </c>
      <c r="AM544">
        <v>4</v>
      </c>
      <c r="AN544">
        <v>0</v>
      </c>
      <c r="AO544" t="s">
        <v>3007</v>
      </c>
      <c r="AP544" t="s">
        <v>68</v>
      </c>
      <c r="AQ544">
        <v>0.46600000000000003</v>
      </c>
      <c r="AR544" t="s">
        <v>69</v>
      </c>
      <c r="AS544">
        <v>25</v>
      </c>
      <c r="AT544">
        <v>1</v>
      </c>
      <c r="AU544">
        <v>2.9069999999999999E-2</v>
      </c>
      <c r="AV544">
        <v>-6.7099999999999998E-3</v>
      </c>
      <c r="AW544">
        <v>0.15487000000000001</v>
      </c>
      <c r="AX544">
        <v>-3.6830000000000002E-2</v>
      </c>
      <c r="AY544">
        <v>1.39E-3</v>
      </c>
      <c r="AZ544">
        <v>-5.6999999999999998E-4</v>
      </c>
      <c r="BA544">
        <v>8.9999999999999993E-3</v>
      </c>
      <c r="BB544">
        <v>1</v>
      </c>
      <c r="BC544" t="s">
        <v>70</v>
      </c>
      <c r="BD544">
        <v>0.06</v>
      </c>
      <c r="BE544">
        <v>-0.72699999999999998</v>
      </c>
      <c r="BF544" t="s">
        <v>71</v>
      </c>
      <c r="BG544">
        <v>8.0808080808080801E-2</v>
      </c>
      <c r="BI544">
        <v>26</v>
      </c>
      <c r="BJ544">
        <v>8.9999999999999993E-3</v>
      </c>
      <c r="BK544">
        <v>8.0808080808080801E-2</v>
      </c>
    </row>
    <row r="545" spans="1:63">
      <c r="A545">
        <v>3016</v>
      </c>
      <c r="B545" t="s">
        <v>3011</v>
      </c>
      <c r="D545" t="s">
        <v>66</v>
      </c>
      <c r="E545">
        <v>3032420</v>
      </c>
      <c r="F545">
        <v>3033040</v>
      </c>
      <c r="G545" t="s">
        <v>666</v>
      </c>
      <c r="H545">
        <v>207</v>
      </c>
      <c r="I545" t="s">
        <v>63</v>
      </c>
      <c r="J545">
        <v>5</v>
      </c>
      <c r="K545" t="str">
        <f>HYPERLINK("Gene3016-zp_tree_all.dnd", "Gene3016-tree")</f>
        <v>Gene3016-tree</v>
      </c>
      <c r="L545">
        <v>4</v>
      </c>
      <c r="M545">
        <v>1</v>
      </c>
      <c r="N545">
        <v>4</v>
      </c>
      <c r="O545">
        <v>1</v>
      </c>
      <c r="P545">
        <v>0.2</v>
      </c>
      <c r="Q545" t="s">
        <v>64</v>
      </c>
      <c r="R545" t="s">
        <v>65</v>
      </c>
      <c r="S545" t="s">
        <v>66</v>
      </c>
      <c r="T545" t="s">
        <v>66</v>
      </c>
      <c r="U545">
        <v>0</v>
      </c>
      <c r="V545">
        <v>0</v>
      </c>
      <c r="W545">
        <v>3</v>
      </c>
      <c r="X545">
        <v>0</v>
      </c>
      <c r="Y545">
        <v>0</v>
      </c>
      <c r="Z545">
        <v>0</v>
      </c>
      <c r="AA545">
        <v>0</v>
      </c>
      <c r="AB545">
        <v>2</v>
      </c>
      <c r="AC545">
        <v>0</v>
      </c>
      <c r="AD545">
        <v>0</v>
      </c>
      <c r="AE545">
        <v>0</v>
      </c>
      <c r="AF545">
        <v>0</v>
      </c>
      <c r="AG545">
        <v>1</v>
      </c>
      <c r="AH545">
        <v>0</v>
      </c>
      <c r="AI545">
        <v>5</v>
      </c>
      <c r="AJ545">
        <v>2</v>
      </c>
      <c r="AK545">
        <v>11</v>
      </c>
      <c r="AL545">
        <v>1</v>
      </c>
      <c r="AM545">
        <v>12</v>
      </c>
      <c r="AN545">
        <v>2</v>
      </c>
      <c r="AO545" t="s">
        <v>3013</v>
      </c>
      <c r="AP545" t="s">
        <v>3014</v>
      </c>
      <c r="AQ545">
        <v>0.245</v>
      </c>
      <c r="AR545" t="s">
        <v>69</v>
      </c>
      <c r="AS545">
        <v>23</v>
      </c>
      <c r="AT545">
        <v>3</v>
      </c>
      <c r="AU545">
        <v>2.1569999999999999E-2</v>
      </c>
      <c r="AV545">
        <v>-3.9300000000000003E-3</v>
      </c>
      <c r="AW545">
        <v>9.2969999999999997E-2</v>
      </c>
      <c r="AX545">
        <v>-1.789E-2</v>
      </c>
      <c r="AY545">
        <v>3.3700000000000002E-3</v>
      </c>
      <c r="AZ545">
        <v>-5.9000000000000003E-4</v>
      </c>
      <c r="BA545">
        <v>3.6240000000000001E-2</v>
      </c>
      <c r="BB545">
        <v>1</v>
      </c>
      <c r="BC545" t="s">
        <v>70</v>
      </c>
      <c r="BD545">
        <v>0.43</v>
      </c>
      <c r="BE545">
        <v>0.43</v>
      </c>
      <c r="BF545" t="s">
        <v>71</v>
      </c>
      <c r="BG545">
        <v>-5.2208835341365403E-2</v>
      </c>
      <c r="BI545">
        <v>26</v>
      </c>
      <c r="BJ545">
        <v>3.6240000000000001E-2</v>
      </c>
      <c r="BK545">
        <v>-5.2208835341365403E-2</v>
      </c>
    </row>
    <row r="546" spans="1:63">
      <c r="A546">
        <v>3028</v>
      </c>
      <c r="B546" t="s">
        <v>3031</v>
      </c>
      <c r="D546" t="s">
        <v>66</v>
      </c>
      <c r="E546">
        <v>3044168</v>
      </c>
      <c r="F546">
        <v>3045169</v>
      </c>
      <c r="G546" t="s">
        <v>3033</v>
      </c>
      <c r="H546">
        <v>334</v>
      </c>
      <c r="I546" t="s">
        <v>63</v>
      </c>
      <c r="J546">
        <v>5</v>
      </c>
      <c r="K546" t="str">
        <f>HYPERLINK("Gene3028-zp_tree_all.dnd", "Gene3028-tree")</f>
        <v>Gene3028-tree</v>
      </c>
      <c r="L546">
        <v>3</v>
      </c>
      <c r="M546">
        <v>2</v>
      </c>
      <c r="N546">
        <v>3</v>
      </c>
      <c r="O546">
        <v>2</v>
      </c>
      <c r="P546">
        <v>0.4</v>
      </c>
      <c r="Q546" t="s">
        <v>86</v>
      </c>
      <c r="R546" t="s">
        <v>124</v>
      </c>
      <c r="S546" t="s">
        <v>66</v>
      </c>
      <c r="T546" t="s">
        <v>66</v>
      </c>
      <c r="U546">
        <v>0</v>
      </c>
      <c r="V546">
        <v>0</v>
      </c>
      <c r="W546">
        <v>5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0</v>
      </c>
      <c r="AD546">
        <v>0</v>
      </c>
      <c r="AE546">
        <v>0</v>
      </c>
      <c r="AF546">
        <v>0</v>
      </c>
      <c r="AG546">
        <v>4</v>
      </c>
      <c r="AH546">
        <v>0</v>
      </c>
      <c r="AI546">
        <v>5</v>
      </c>
      <c r="AJ546">
        <v>2</v>
      </c>
      <c r="AK546">
        <v>46</v>
      </c>
      <c r="AL546">
        <v>2</v>
      </c>
      <c r="AM546">
        <v>20</v>
      </c>
      <c r="AN546">
        <v>3</v>
      </c>
      <c r="AO546" t="s">
        <v>3034</v>
      </c>
      <c r="AP546" t="s">
        <v>3035</v>
      </c>
      <c r="AQ546">
        <v>1.1930000000000001</v>
      </c>
      <c r="AR546" t="s">
        <v>69</v>
      </c>
      <c r="AS546">
        <v>66</v>
      </c>
      <c r="AT546">
        <v>5</v>
      </c>
      <c r="AU546">
        <v>3.0839999999999999E-2</v>
      </c>
      <c r="AV546">
        <v>-4.2300000000000003E-3</v>
      </c>
      <c r="AW546">
        <v>0.13131000000000001</v>
      </c>
      <c r="AX546">
        <v>-1.8519999999999998E-2</v>
      </c>
      <c r="AY546">
        <v>3.8E-3</v>
      </c>
      <c r="AZ546">
        <v>-7.1000000000000002E-4</v>
      </c>
      <c r="BA546">
        <v>2.894E-2</v>
      </c>
      <c r="BB546">
        <v>1</v>
      </c>
      <c r="BC546" t="s">
        <v>70</v>
      </c>
      <c r="BD546">
        <v>0.41899999999999998</v>
      </c>
      <c r="BE546">
        <v>-7.1999999999999995E-2</v>
      </c>
      <c r="BF546" t="s">
        <v>71</v>
      </c>
      <c r="BG546">
        <v>3.8793103448275801E-2</v>
      </c>
      <c r="BI546">
        <v>71</v>
      </c>
      <c r="BJ546">
        <v>2.894E-2</v>
      </c>
      <c r="BK546">
        <v>3.8793103448275801E-2</v>
      </c>
    </row>
    <row r="547" spans="1:63">
      <c r="A547">
        <v>3029</v>
      </c>
      <c r="B547" t="s">
        <v>3036</v>
      </c>
      <c r="D547" t="s">
        <v>66</v>
      </c>
      <c r="E547">
        <v>3045448</v>
      </c>
      <c r="F547">
        <v>3046521</v>
      </c>
      <c r="G547" t="s">
        <v>3038</v>
      </c>
      <c r="H547">
        <v>358</v>
      </c>
      <c r="I547" t="s">
        <v>63</v>
      </c>
      <c r="J547">
        <v>5</v>
      </c>
      <c r="K547" t="str">
        <f>HYPERLINK("Gene3029-zp_tree_all.dnd", "Gene3029-tree")</f>
        <v>Gene3029-tree</v>
      </c>
      <c r="L547">
        <v>5</v>
      </c>
      <c r="M547">
        <v>0</v>
      </c>
      <c r="N547">
        <v>5</v>
      </c>
      <c r="O547">
        <v>0</v>
      </c>
      <c r="P547">
        <v>0</v>
      </c>
      <c r="Q547" t="s">
        <v>96</v>
      </c>
      <c r="R547" t="s">
        <v>66</v>
      </c>
      <c r="S547" t="s">
        <v>66</v>
      </c>
      <c r="T547" t="s">
        <v>66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5</v>
      </c>
      <c r="AJ547">
        <v>2</v>
      </c>
      <c r="AK547">
        <v>33</v>
      </c>
      <c r="AL547">
        <v>0</v>
      </c>
      <c r="AM547">
        <v>32</v>
      </c>
      <c r="AN547">
        <v>0</v>
      </c>
      <c r="AO547" t="s">
        <v>68</v>
      </c>
      <c r="AP547" t="s">
        <v>68</v>
      </c>
      <c r="AQ547">
        <v>0</v>
      </c>
      <c r="AR547" t="s">
        <v>69</v>
      </c>
      <c r="AS547">
        <v>65</v>
      </c>
      <c r="AT547">
        <v>0</v>
      </c>
      <c r="AU547">
        <v>2.9610000000000001E-2</v>
      </c>
      <c r="AV547">
        <v>-4.8599999999999997E-3</v>
      </c>
      <c r="AW547">
        <v>0.14756</v>
      </c>
      <c r="AX547">
        <v>-2.538E-2</v>
      </c>
      <c r="AY547">
        <v>0</v>
      </c>
      <c r="AZ547">
        <v>0</v>
      </c>
      <c r="BA547">
        <v>0</v>
      </c>
      <c r="BB547">
        <v>1</v>
      </c>
      <c r="BC547" t="s">
        <v>70</v>
      </c>
      <c r="BD547">
        <v>0.51900000000000002</v>
      </c>
      <c r="BE547">
        <v>0.26400000000000001</v>
      </c>
      <c r="BF547" t="s">
        <v>71</v>
      </c>
      <c r="BG547">
        <v>5.7377049180327801E-2</v>
      </c>
      <c r="BI547">
        <v>65</v>
      </c>
      <c r="BJ547">
        <v>0</v>
      </c>
      <c r="BK547">
        <v>5.7377049180327801E-2</v>
      </c>
    </row>
    <row r="548" spans="1:63">
      <c r="A548">
        <v>3032</v>
      </c>
      <c r="B548" t="s">
        <v>3039</v>
      </c>
      <c r="D548" t="s">
        <v>66</v>
      </c>
      <c r="E548">
        <v>3047596</v>
      </c>
      <c r="F548">
        <v>3048015</v>
      </c>
      <c r="G548" t="s">
        <v>74</v>
      </c>
      <c r="H548">
        <v>140</v>
      </c>
      <c r="I548" t="s">
        <v>106</v>
      </c>
      <c r="J548">
        <v>4</v>
      </c>
      <c r="K548" t="str">
        <f>HYPERLINK("Gene3032-zp_tree_all.dnd", "Gene3032-tree")</f>
        <v>Gene3032-tree</v>
      </c>
      <c r="L548">
        <v>3</v>
      </c>
      <c r="M548">
        <v>1</v>
      </c>
      <c r="N548">
        <v>3</v>
      </c>
      <c r="O548">
        <v>1</v>
      </c>
      <c r="P548">
        <v>0.25</v>
      </c>
      <c r="Q548" t="s">
        <v>86</v>
      </c>
      <c r="R548" t="s">
        <v>65</v>
      </c>
      <c r="S548" t="s">
        <v>66</v>
      </c>
      <c r="T548" t="s">
        <v>66</v>
      </c>
      <c r="U548">
        <v>0</v>
      </c>
      <c r="V548">
        <v>0</v>
      </c>
      <c r="W548">
        <v>3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3</v>
      </c>
      <c r="AH548">
        <v>0</v>
      </c>
      <c r="AI548">
        <v>3</v>
      </c>
      <c r="AJ548">
        <v>0</v>
      </c>
      <c r="AK548">
        <v>17</v>
      </c>
      <c r="AL548">
        <v>3</v>
      </c>
      <c r="AM548">
        <v>0</v>
      </c>
      <c r="AN548">
        <v>0</v>
      </c>
      <c r="AO548" t="s">
        <v>3041</v>
      </c>
      <c r="AP548" t="s">
        <v>68</v>
      </c>
      <c r="AQ548">
        <v>0.55000000000000004</v>
      </c>
      <c r="AR548" t="s">
        <v>69</v>
      </c>
      <c r="AS548">
        <v>17</v>
      </c>
      <c r="AT548">
        <v>3</v>
      </c>
      <c r="AU548">
        <v>2.4330000000000001E-2</v>
      </c>
      <c r="AV548">
        <v>-7.9900000000000006E-3</v>
      </c>
      <c r="AW548">
        <v>0.10017</v>
      </c>
      <c r="AX548">
        <v>-3.2349999999999997E-2</v>
      </c>
      <c r="AY548">
        <v>4.7699999999999999E-3</v>
      </c>
      <c r="AZ548">
        <v>-1.9499999999999999E-3</v>
      </c>
      <c r="BA548">
        <v>4.759E-2</v>
      </c>
      <c r="BB548">
        <v>1</v>
      </c>
      <c r="BC548" t="s">
        <v>70</v>
      </c>
      <c r="BD548">
        <v>-0.85399999999999998</v>
      </c>
      <c r="BE548">
        <v>-0.85399999999999998</v>
      </c>
      <c r="BF548" t="s">
        <v>71</v>
      </c>
      <c r="BG548">
        <v>8.3798882681564199E-2</v>
      </c>
      <c r="BI548">
        <v>20</v>
      </c>
      <c r="BJ548">
        <v>4.759E-2</v>
      </c>
      <c r="BK548">
        <v>8.3798882681564199E-2</v>
      </c>
    </row>
    <row r="549" spans="1:63">
      <c r="A549">
        <v>3033</v>
      </c>
      <c r="B549" t="s">
        <v>3042</v>
      </c>
      <c r="D549" t="s">
        <v>66</v>
      </c>
      <c r="E549">
        <v>3048180</v>
      </c>
      <c r="F549">
        <v>3049475</v>
      </c>
      <c r="G549" t="s">
        <v>3044</v>
      </c>
      <c r="H549">
        <v>432</v>
      </c>
      <c r="I549" t="s">
        <v>85</v>
      </c>
      <c r="J549">
        <v>4</v>
      </c>
      <c r="K549" t="str">
        <f>HYPERLINK("Gene3033-zp_tree_all.dnd", "Gene3033-tree")</f>
        <v>Gene3033-tree</v>
      </c>
      <c r="L549">
        <v>2</v>
      </c>
      <c r="M549">
        <v>2</v>
      </c>
      <c r="N549">
        <v>2</v>
      </c>
      <c r="O549">
        <v>2</v>
      </c>
      <c r="P549">
        <v>0.5</v>
      </c>
      <c r="Q549" t="s">
        <v>124</v>
      </c>
      <c r="R549" t="s">
        <v>124</v>
      </c>
      <c r="S549" t="s">
        <v>66</v>
      </c>
      <c r="T549" t="s">
        <v>66</v>
      </c>
      <c r="U549">
        <v>0</v>
      </c>
      <c r="V549">
        <v>0</v>
      </c>
      <c r="W549">
        <v>6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v>0</v>
      </c>
      <c r="AD549">
        <v>0</v>
      </c>
      <c r="AE549">
        <v>0</v>
      </c>
      <c r="AF549">
        <v>0</v>
      </c>
      <c r="AG549">
        <v>5</v>
      </c>
      <c r="AH549">
        <v>0</v>
      </c>
      <c r="AI549">
        <v>4</v>
      </c>
      <c r="AJ549">
        <v>1</v>
      </c>
      <c r="AK549">
        <v>61</v>
      </c>
      <c r="AL549">
        <v>5</v>
      </c>
      <c r="AM549">
        <v>7</v>
      </c>
      <c r="AN549">
        <v>1</v>
      </c>
      <c r="AO549" t="s">
        <v>3045</v>
      </c>
      <c r="AP549" t="s">
        <v>3046</v>
      </c>
      <c r="AQ549">
        <v>0.51900000000000002</v>
      </c>
      <c r="AR549" t="s">
        <v>69</v>
      </c>
      <c r="AS549">
        <v>68</v>
      </c>
      <c r="AT549">
        <v>6</v>
      </c>
      <c r="AU549">
        <v>2.9190000000000001E-2</v>
      </c>
      <c r="AV549">
        <v>-7.5900000000000004E-3</v>
      </c>
      <c r="AW549">
        <v>0.13647000000000001</v>
      </c>
      <c r="AX549">
        <v>-3.7560000000000003E-2</v>
      </c>
      <c r="AY549">
        <v>3.15E-3</v>
      </c>
      <c r="AZ549">
        <v>-7.9000000000000001E-4</v>
      </c>
      <c r="BA549">
        <v>2.3099999999999999E-2</v>
      </c>
      <c r="BB549">
        <v>1</v>
      </c>
      <c r="BC549" t="s">
        <v>70</v>
      </c>
      <c r="BD549">
        <v>-0.38300000000000001</v>
      </c>
      <c r="BE549">
        <v>-0.64900000000000002</v>
      </c>
      <c r="BF549" t="s">
        <v>71</v>
      </c>
      <c r="BG549">
        <v>4.1958041958041897E-2</v>
      </c>
      <c r="BI549">
        <v>74</v>
      </c>
      <c r="BJ549">
        <v>2.3099999999999999E-2</v>
      </c>
      <c r="BK549">
        <v>4.1958041958041897E-2</v>
      </c>
    </row>
    <row r="550" spans="1:63">
      <c r="A550">
        <v>3036</v>
      </c>
      <c r="B550" t="s">
        <v>3047</v>
      </c>
      <c r="D550" t="s">
        <v>66</v>
      </c>
      <c r="E550">
        <v>3053367</v>
      </c>
      <c r="F550">
        <v>3054173</v>
      </c>
      <c r="G550" t="s">
        <v>74</v>
      </c>
      <c r="H550">
        <v>269</v>
      </c>
      <c r="I550" t="s">
        <v>63</v>
      </c>
      <c r="J550">
        <v>5</v>
      </c>
      <c r="K550" t="str">
        <f>HYPERLINK("Gene3036-zp_tree_all.dnd", "Gene3036-tree")</f>
        <v>Gene3036-tree</v>
      </c>
      <c r="L550">
        <v>5</v>
      </c>
      <c r="M550">
        <v>0</v>
      </c>
      <c r="N550">
        <v>5</v>
      </c>
      <c r="O550">
        <v>0</v>
      </c>
      <c r="P550">
        <v>0</v>
      </c>
      <c r="Q550" t="s">
        <v>96</v>
      </c>
      <c r="R550" t="s">
        <v>66</v>
      </c>
      <c r="S550" t="s">
        <v>66</v>
      </c>
      <c r="T550" t="s">
        <v>66</v>
      </c>
      <c r="U550">
        <v>0</v>
      </c>
      <c r="V550">
        <v>0</v>
      </c>
      <c r="W550">
        <v>3</v>
      </c>
      <c r="X550">
        <v>0</v>
      </c>
      <c r="Y550">
        <v>0</v>
      </c>
      <c r="Z550">
        <v>0</v>
      </c>
      <c r="AA550">
        <v>0</v>
      </c>
      <c r="AB550">
        <v>3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5</v>
      </c>
      <c r="AJ550">
        <v>2</v>
      </c>
      <c r="AK550">
        <v>20</v>
      </c>
      <c r="AL550">
        <v>0</v>
      </c>
      <c r="AM550">
        <v>25</v>
      </c>
      <c r="AN550">
        <v>3</v>
      </c>
      <c r="AO550" t="s">
        <v>68</v>
      </c>
      <c r="AP550" t="s">
        <v>3049</v>
      </c>
      <c r="AQ550">
        <v>0.82</v>
      </c>
      <c r="AR550" t="s">
        <v>69</v>
      </c>
      <c r="AS550">
        <v>45</v>
      </c>
      <c r="AT550">
        <v>3</v>
      </c>
      <c r="AU550">
        <v>3.0110000000000001E-2</v>
      </c>
      <c r="AV550">
        <v>-5.6800000000000002E-3</v>
      </c>
      <c r="AW550">
        <v>0.13669000000000001</v>
      </c>
      <c r="AX550">
        <v>-2.598E-2</v>
      </c>
      <c r="AY550">
        <v>2.9099999999999998E-3</v>
      </c>
      <c r="AZ550">
        <v>-6.8999999999999997E-4</v>
      </c>
      <c r="BA550">
        <v>2.1260000000000001E-2</v>
      </c>
      <c r="BB550">
        <v>1</v>
      </c>
      <c r="BC550" t="s">
        <v>70</v>
      </c>
      <c r="BD550">
        <v>0.94199999999999995</v>
      </c>
      <c r="BE550">
        <v>0.628</v>
      </c>
      <c r="BF550" t="s">
        <v>71</v>
      </c>
      <c r="BG550">
        <v>5.23560209424083E-2</v>
      </c>
      <c r="BI550">
        <v>48</v>
      </c>
      <c r="BJ550">
        <v>2.1260000000000001E-2</v>
      </c>
      <c r="BK550">
        <v>5.23560209424083E-2</v>
      </c>
    </row>
    <row r="551" spans="1:63">
      <c r="A551">
        <v>3037</v>
      </c>
      <c r="B551" t="s">
        <v>3050</v>
      </c>
      <c r="D551" t="s">
        <v>66</v>
      </c>
      <c r="E551">
        <v>3054191</v>
      </c>
      <c r="F551">
        <v>3054511</v>
      </c>
      <c r="G551" t="s">
        <v>716</v>
      </c>
      <c r="H551">
        <v>107</v>
      </c>
      <c r="I551" t="s">
        <v>106</v>
      </c>
      <c r="J551">
        <v>4</v>
      </c>
      <c r="K551" t="str">
        <f>HYPERLINK("Gene3037-zp_tree_all.dnd", "Gene3037-tree")</f>
        <v>Gene3037-tree</v>
      </c>
      <c r="L551">
        <v>2</v>
      </c>
      <c r="M551">
        <v>2</v>
      </c>
      <c r="N551">
        <v>2</v>
      </c>
      <c r="O551">
        <v>2</v>
      </c>
      <c r="P551">
        <v>0.5</v>
      </c>
      <c r="Q551" t="s">
        <v>124</v>
      </c>
      <c r="R551" t="s">
        <v>124</v>
      </c>
      <c r="S551" t="s">
        <v>66</v>
      </c>
      <c r="T551" t="s">
        <v>66</v>
      </c>
      <c r="U551">
        <v>0</v>
      </c>
      <c r="V551">
        <v>0</v>
      </c>
      <c r="W551">
        <v>3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3</v>
      </c>
      <c r="AH551">
        <v>0</v>
      </c>
      <c r="AI551">
        <v>4</v>
      </c>
      <c r="AJ551">
        <v>0</v>
      </c>
      <c r="AK551">
        <v>14</v>
      </c>
      <c r="AL551">
        <v>3</v>
      </c>
      <c r="AM551">
        <v>0</v>
      </c>
      <c r="AN551">
        <v>0</v>
      </c>
      <c r="AO551" t="s">
        <v>3052</v>
      </c>
      <c r="AP551" t="s">
        <v>68</v>
      </c>
      <c r="AQ551">
        <v>0.80500000000000005</v>
      </c>
      <c r="AR551" t="s">
        <v>69</v>
      </c>
      <c r="AS551">
        <v>14</v>
      </c>
      <c r="AT551">
        <v>3</v>
      </c>
      <c r="AU551">
        <v>2.648E-2</v>
      </c>
      <c r="AV551">
        <v>-6.6800000000000002E-3</v>
      </c>
      <c r="AW551">
        <v>0.12037</v>
      </c>
      <c r="AX551">
        <v>-3.209E-2</v>
      </c>
      <c r="AY551">
        <v>5.8900000000000003E-3</v>
      </c>
      <c r="AZ551">
        <v>-1.5399999999999999E-3</v>
      </c>
      <c r="BA551">
        <v>4.895E-2</v>
      </c>
      <c r="BB551">
        <v>1</v>
      </c>
      <c r="BC551" t="s">
        <v>70</v>
      </c>
      <c r="BD551">
        <v>-0.85099999999999998</v>
      </c>
      <c r="BE551">
        <v>-0.85099999999999998</v>
      </c>
      <c r="BF551" t="s">
        <v>71</v>
      </c>
      <c r="BG551">
        <v>0.138461538461538</v>
      </c>
      <c r="BI551">
        <v>17</v>
      </c>
      <c r="BJ551">
        <v>4.895E-2</v>
      </c>
      <c r="BK551">
        <v>0.138461538461538</v>
      </c>
    </row>
    <row r="552" spans="1:63">
      <c r="A552">
        <v>3043</v>
      </c>
      <c r="B552" t="s">
        <v>3059</v>
      </c>
      <c r="D552" t="s">
        <v>66</v>
      </c>
      <c r="E552">
        <v>3059550</v>
      </c>
      <c r="F552">
        <v>3060188</v>
      </c>
      <c r="G552" t="s">
        <v>3061</v>
      </c>
      <c r="H552">
        <v>213</v>
      </c>
      <c r="I552" t="s">
        <v>85</v>
      </c>
      <c r="J552">
        <v>4</v>
      </c>
      <c r="K552" t="str">
        <f>HYPERLINK("Gene3043-zp_tree_all.dnd", "Gene3043-tree")</f>
        <v>Gene3043-tree</v>
      </c>
      <c r="L552">
        <v>2</v>
      </c>
      <c r="M552">
        <v>2</v>
      </c>
      <c r="N552">
        <v>2</v>
      </c>
      <c r="O552">
        <v>2</v>
      </c>
      <c r="P552">
        <v>0.5</v>
      </c>
      <c r="Q552" t="s">
        <v>124</v>
      </c>
      <c r="R552" t="s">
        <v>124</v>
      </c>
      <c r="S552" t="s">
        <v>66</v>
      </c>
      <c r="T552" t="s">
        <v>66</v>
      </c>
      <c r="U552">
        <v>0</v>
      </c>
      <c r="V552">
        <v>0</v>
      </c>
      <c r="W552">
        <v>3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3</v>
      </c>
      <c r="AH552">
        <v>0</v>
      </c>
      <c r="AI552">
        <v>3</v>
      </c>
      <c r="AJ552">
        <v>1</v>
      </c>
      <c r="AK552">
        <v>26</v>
      </c>
      <c r="AL552">
        <v>2</v>
      </c>
      <c r="AM552">
        <v>1</v>
      </c>
      <c r="AN552">
        <v>1</v>
      </c>
      <c r="AO552" t="s">
        <v>3062</v>
      </c>
      <c r="AP552" t="s">
        <v>3063</v>
      </c>
      <c r="AQ552">
        <v>11.147</v>
      </c>
      <c r="AR552" t="s">
        <v>69</v>
      </c>
      <c r="AS552">
        <v>27</v>
      </c>
      <c r="AT552">
        <v>3</v>
      </c>
      <c r="AU552">
        <v>2.4E-2</v>
      </c>
      <c r="AV552">
        <v>-7.7099999999999998E-3</v>
      </c>
      <c r="AW552">
        <v>0.11199000000000001</v>
      </c>
      <c r="AX552">
        <v>-3.9820000000000001E-2</v>
      </c>
      <c r="AY552">
        <v>3.3400000000000001E-3</v>
      </c>
      <c r="AZ552">
        <v>-6.0999999999999997E-4</v>
      </c>
      <c r="BA552">
        <v>2.9819999999999999E-2</v>
      </c>
      <c r="BB552">
        <v>1</v>
      </c>
      <c r="BC552" t="s">
        <v>70</v>
      </c>
      <c r="BD552">
        <v>-0.65100000000000002</v>
      </c>
      <c r="BE552">
        <v>-0.65100000000000002</v>
      </c>
      <c r="BF552" t="s">
        <v>71</v>
      </c>
      <c r="BG552">
        <v>9.2198581560283599E-2</v>
      </c>
      <c r="BI552">
        <v>30</v>
      </c>
      <c r="BJ552">
        <v>2.9819999999999999E-2</v>
      </c>
      <c r="BK552">
        <v>9.2198581560283599E-2</v>
      </c>
    </row>
    <row r="553" spans="1:63">
      <c r="A553">
        <v>3045</v>
      </c>
      <c r="B553" t="s">
        <v>3067</v>
      </c>
      <c r="D553" t="s">
        <v>66</v>
      </c>
      <c r="E553">
        <v>3060677</v>
      </c>
      <c r="F553">
        <v>3061288</v>
      </c>
      <c r="G553" t="s">
        <v>3069</v>
      </c>
      <c r="H553">
        <v>204</v>
      </c>
      <c r="I553" t="s">
        <v>63</v>
      </c>
      <c r="J553">
        <v>5</v>
      </c>
      <c r="K553" t="str">
        <f>HYPERLINK("Gene3045-zp_tree_all.dnd", "Gene3045-tree")</f>
        <v>Gene3045-tree</v>
      </c>
      <c r="L553">
        <v>4</v>
      </c>
      <c r="M553">
        <v>1</v>
      </c>
      <c r="N553">
        <v>3</v>
      </c>
      <c r="O553">
        <v>1</v>
      </c>
      <c r="P553">
        <v>0.25</v>
      </c>
      <c r="Q553" t="s">
        <v>112</v>
      </c>
      <c r="R553" t="s">
        <v>65</v>
      </c>
      <c r="S553" t="s">
        <v>66</v>
      </c>
      <c r="T553" t="s">
        <v>66</v>
      </c>
      <c r="U553">
        <v>0</v>
      </c>
      <c r="V553">
        <v>0</v>
      </c>
      <c r="W553">
        <v>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0</v>
      </c>
      <c r="AI553">
        <v>3</v>
      </c>
      <c r="AJ553">
        <v>1</v>
      </c>
      <c r="AK553">
        <v>13</v>
      </c>
      <c r="AL553">
        <v>1</v>
      </c>
      <c r="AM553">
        <v>15</v>
      </c>
      <c r="AN553">
        <v>0</v>
      </c>
      <c r="AO553" t="s">
        <v>3070</v>
      </c>
      <c r="AP553" t="s">
        <v>68</v>
      </c>
      <c r="AQ553">
        <v>0.84499999999999997</v>
      </c>
      <c r="AR553" t="s">
        <v>69</v>
      </c>
      <c r="AS553">
        <v>28</v>
      </c>
      <c r="AT553">
        <v>1</v>
      </c>
      <c r="AU553">
        <v>2.682E-2</v>
      </c>
      <c r="AV553">
        <v>-4.62E-3</v>
      </c>
      <c r="AW553">
        <v>0.13102</v>
      </c>
      <c r="AX553">
        <v>-2.3939999999999999E-2</v>
      </c>
      <c r="AY553">
        <v>1.75E-3</v>
      </c>
      <c r="AZ553">
        <v>-7.6999999999999996E-4</v>
      </c>
      <c r="BA553">
        <v>1.3339999999999999E-2</v>
      </c>
      <c r="BB553">
        <v>1</v>
      </c>
      <c r="BC553" t="s">
        <v>70</v>
      </c>
      <c r="BD553">
        <v>0.71399999999999997</v>
      </c>
      <c r="BE553">
        <v>0.48299999999999998</v>
      </c>
      <c r="BF553" t="s">
        <v>71</v>
      </c>
      <c r="BG553">
        <v>0.130136986301369</v>
      </c>
      <c r="BI553">
        <v>29</v>
      </c>
      <c r="BJ553">
        <v>1.3339999999999999E-2</v>
      </c>
      <c r="BK553">
        <v>0.130136986301369</v>
      </c>
    </row>
    <row r="554" spans="1:63">
      <c r="A554">
        <v>3060</v>
      </c>
      <c r="B554" t="s">
        <v>3073</v>
      </c>
      <c r="D554" t="s">
        <v>66</v>
      </c>
      <c r="E554">
        <v>3078396</v>
      </c>
      <c r="F554">
        <v>3078575</v>
      </c>
      <c r="G554" t="s">
        <v>3075</v>
      </c>
      <c r="H554">
        <v>60</v>
      </c>
      <c r="I554" t="s">
        <v>106</v>
      </c>
      <c r="J554">
        <v>4</v>
      </c>
      <c r="K554" t="str">
        <f>HYPERLINK("Gene3060-zp_tree_all.dnd", "Gene3060-tree")</f>
        <v>Gene3060-tree</v>
      </c>
      <c r="L554">
        <v>4</v>
      </c>
      <c r="M554">
        <v>0</v>
      </c>
      <c r="N554">
        <v>4</v>
      </c>
      <c r="O554">
        <v>0</v>
      </c>
      <c r="P554">
        <v>0</v>
      </c>
      <c r="Q554" t="s">
        <v>64</v>
      </c>
      <c r="R554" t="s">
        <v>66</v>
      </c>
      <c r="S554" t="s">
        <v>66</v>
      </c>
      <c r="T554" t="s">
        <v>66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3</v>
      </c>
      <c r="AJ554">
        <v>0</v>
      </c>
      <c r="AK554">
        <v>9</v>
      </c>
      <c r="AL554">
        <v>0</v>
      </c>
      <c r="AM554">
        <v>0</v>
      </c>
      <c r="AN554">
        <v>0</v>
      </c>
      <c r="AO554" t="s">
        <v>68</v>
      </c>
      <c r="AP554" t="s">
        <v>68</v>
      </c>
      <c r="AQ554">
        <v>0</v>
      </c>
      <c r="AR554" t="s">
        <v>69</v>
      </c>
      <c r="AS554">
        <v>9</v>
      </c>
      <c r="AT554">
        <v>0</v>
      </c>
      <c r="AU554">
        <v>2.5000000000000001E-2</v>
      </c>
      <c r="AV554">
        <v>-7.26E-3</v>
      </c>
      <c r="AW554">
        <v>0.13098000000000001</v>
      </c>
      <c r="AX554">
        <v>-3.9649999999999998E-2</v>
      </c>
      <c r="AY554">
        <v>0</v>
      </c>
      <c r="AZ554">
        <v>0</v>
      </c>
      <c r="BA554">
        <v>0</v>
      </c>
      <c r="BB554">
        <v>1</v>
      </c>
      <c r="BC554" t="s">
        <v>70</v>
      </c>
      <c r="BD554">
        <v>-0.82899999999999996</v>
      </c>
      <c r="BE554">
        <v>-0.82899999999999996</v>
      </c>
      <c r="BF554" t="s">
        <v>71</v>
      </c>
      <c r="BG554">
        <v>0.157894736842105</v>
      </c>
      <c r="BI554">
        <v>9</v>
      </c>
      <c r="BJ554">
        <v>0</v>
      </c>
      <c r="BK554">
        <v>0.157894736842105</v>
      </c>
    </row>
    <row r="555" spans="1:63">
      <c r="A555">
        <v>3065</v>
      </c>
      <c r="B555" t="s">
        <v>3076</v>
      </c>
      <c r="D555" t="s">
        <v>66</v>
      </c>
      <c r="E555">
        <v>3082263</v>
      </c>
      <c r="F555">
        <v>3083225</v>
      </c>
      <c r="G555" t="s">
        <v>3078</v>
      </c>
      <c r="H555">
        <v>321</v>
      </c>
      <c r="I555" t="s">
        <v>63</v>
      </c>
      <c r="J555">
        <v>5</v>
      </c>
      <c r="K555" t="str">
        <f>HYPERLINK("Gene3065-zp_tree_all.dnd", "Gene3065-tree")</f>
        <v>Gene3065-tree</v>
      </c>
      <c r="L555">
        <v>1</v>
      </c>
      <c r="M555">
        <v>4</v>
      </c>
      <c r="N555">
        <v>1</v>
      </c>
      <c r="O555">
        <v>4</v>
      </c>
      <c r="P555">
        <v>0.8</v>
      </c>
      <c r="Q555" t="s">
        <v>65</v>
      </c>
      <c r="R555" t="s">
        <v>64</v>
      </c>
      <c r="S555" t="s">
        <v>66</v>
      </c>
      <c r="T555" t="s">
        <v>66</v>
      </c>
      <c r="U555">
        <v>1</v>
      </c>
      <c r="V555">
        <v>2</v>
      </c>
      <c r="W555">
        <v>6</v>
      </c>
      <c r="X555">
        <v>0.25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2</v>
      </c>
      <c r="AF555">
        <v>2</v>
      </c>
      <c r="AG555">
        <v>6</v>
      </c>
      <c r="AH555">
        <v>0.25</v>
      </c>
      <c r="AI555">
        <v>5</v>
      </c>
      <c r="AJ555">
        <v>2</v>
      </c>
      <c r="AK555">
        <v>34</v>
      </c>
      <c r="AL555">
        <v>5</v>
      </c>
      <c r="AM555">
        <v>20</v>
      </c>
      <c r="AN555">
        <v>3</v>
      </c>
      <c r="AO555" t="s">
        <v>3079</v>
      </c>
      <c r="AP555" t="s">
        <v>3080</v>
      </c>
      <c r="AQ555">
        <v>1E-3</v>
      </c>
      <c r="AR555" t="s">
        <v>69</v>
      </c>
      <c r="AS555">
        <v>54</v>
      </c>
      <c r="AT555">
        <v>8</v>
      </c>
      <c r="AU555">
        <v>2.9180000000000001E-2</v>
      </c>
      <c r="AV555">
        <v>-3.4299999999999999E-3</v>
      </c>
      <c r="AW555">
        <v>0.11521000000000001</v>
      </c>
      <c r="AX555">
        <v>-1.4659999999999999E-2</v>
      </c>
      <c r="AY555">
        <v>5.0800000000000003E-3</v>
      </c>
      <c r="AZ555">
        <v>-6.2E-4</v>
      </c>
      <c r="BA555">
        <v>4.4049999999999999E-2</v>
      </c>
      <c r="BB555">
        <v>1</v>
      </c>
      <c r="BC555" t="s">
        <v>70</v>
      </c>
      <c r="BD555">
        <v>0.34300000000000003</v>
      </c>
      <c r="BE555">
        <v>-7.9000000000000001E-2</v>
      </c>
      <c r="BF555" t="s">
        <v>71</v>
      </c>
      <c r="BG555">
        <v>0.19721577726218001</v>
      </c>
      <c r="BI555">
        <v>62</v>
      </c>
      <c r="BJ555">
        <v>4.4049999999999999E-2</v>
      </c>
      <c r="BK555">
        <v>0.19721577726218001</v>
      </c>
    </row>
    <row r="556" spans="1:63">
      <c r="A556">
        <v>3068</v>
      </c>
      <c r="B556" t="s">
        <v>3081</v>
      </c>
      <c r="D556" t="s">
        <v>66</v>
      </c>
      <c r="E556">
        <v>3087324</v>
      </c>
      <c r="F556">
        <v>3088181</v>
      </c>
      <c r="G556" t="s">
        <v>657</v>
      </c>
      <c r="H556">
        <v>286</v>
      </c>
      <c r="I556" t="s">
        <v>63</v>
      </c>
      <c r="J556">
        <v>5</v>
      </c>
      <c r="K556" t="str">
        <f>HYPERLINK("Gene3068-zp_tree_all.dnd", "Gene3068-tree")</f>
        <v>Gene3068-tree</v>
      </c>
      <c r="L556">
        <v>4</v>
      </c>
      <c r="M556">
        <v>1</v>
      </c>
      <c r="N556">
        <v>4</v>
      </c>
      <c r="O556">
        <v>1</v>
      </c>
      <c r="P556">
        <v>0.2</v>
      </c>
      <c r="Q556" t="s">
        <v>64</v>
      </c>
      <c r="R556" t="s">
        <v>65</v>
      </c>
      <c r="S556" t="s">
        <v>66</v>
      </c>
      <c r="T556" t="s">
        <v>66</v>
      </c>
      <c r="U556">
        <v>0</v>
      </c>
      <c r="V556">
        <v>0</v>
      </c>
      <c r="W556">
        <v>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2</v>
      </c>
      <c r="AH556">
        <v>0</v>
      </c>
      <c r="AI556">
        <v>5</v>
      </c>
      <c r="AJ556">
        <v>2</v>
      </c>
      <c r="AK556">
        <v>26</v>
      </c>
      <c r="AL556">
        <v>2</v>
      </c>
      <c r="AM556">
        <v>23</v>
      </c>
      <c r="AN556">
        <v>0</v>
      </c>
      <c r="AO556" t="s">
        <v>3083</v>
      </c>
      <c r="AP556" t="s">
        <v>68</v>
      </c>
      <c r="AQ556">
        <v>0.504</v>
      </c>
      <c r="AR556" t="s">
        <v>69</v>
      </c>
      <c r="AS556">
        <v>49</v>
      </c>
      <c r="AT556">
        <v>2</v>
      </c>
      <c r="AU556">
        <v>2.716E-2</v>
      </c>
      <c r="AV556">
        <v>-4.1000000000000003E-3</v>
      </c>
      <c r="AW556">
        <v>0.11659</v>
      </c>
      <c r="AX556">
        <v>-1.8530000000000001E-2</v>
      </c>
      <c r="AY556">
        <v>1.24E-3</v>
      </c>
      <c r="AZ556">
        <v>-4.8000000000000001E-4</v>
      </c>
      <c r="BA556">
        <v>1.065E-2</v>
      </c>
      <c r="BB556">
        <v>1</v>
      </c>
      <c r="BC556" t="s">
        <v>70</v>
      </c>
      <c r="BD556">
        <v>0.59299999999999997</v>
      </c>
      <c r="BE556">
        <v>-7.0000000000000007E-2</v>
      </c>
      <c r="BF556" t="s">
        <v>71</v>
      </c>
      <c r="BG556">
        <v>2.11640211640211E-2</v>
      </c>
      <c r="BI556">
        <v>51</v>
      </c>
      <c r="BJ556">
        <v>1.065E-2</v>
      </c>
      <c r="BK556">
        <v>2.11640211640211E-2</v>
      </c>
    </row>
    <row r="557" spans="1:63">
      <c r="A557">
        <v>3082</v>
      </c>
      <c r="B557" t="s">
        <v>3084</v>
      </c>
      <c r="D557" t="s">
        <v>66</v>
      </c>
      <c r="E557">
        <v>3102204</v>
      </c>
      <c r="F557">
        <v>3102512</v>
      </c>
      <c r="G557" t="s">
        <v>74</v>
      </c>
      <c r="H557">
        <v>103</v>
      </c>
      <c r="I557" t="s">
        <v>85</v>
      </c>
      <c r="J557">
        <v>4</v>
      </c>
      <c r="K557" t="str">
        <f>HYPERLINK("Gene3082-zp_tree_all.dnd", "Gene3082-tree")</f>
        <v>Gene3082-tree</v>
      </c>
      <c r="L557">
        <v>2</v>
      </c>
      <c r="M557">
        <v>2</v>
      </c>
      <c r="N557">
        <v>2</v>
      </c>
      <c r="O557">
        <v>2</v>
      </c>
      <c r="P557">
        <v>0.5</v>
      </c>
      <c r="Q557" t="s">
        <v>124</v>
      </c>
      <c r="R557" t="s">
        <v>124</v>
      </c>
      <c r="S557" t="s">
        <v>66</v>
      </c>
      <c r="T557" t="s">
        <v>66</v>
      </c>
      <c r="U557">
        <v>0</v>
      </c>
      <c r="V557">
        <v>0</v>
      </c>
      <c r="W557">
        <v>5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5</v>
      </c>
      <c r="AH557">
        <v>0</v>
      </c>
      <c r="AI557">
        <v>3</v>
      </c>
      <c r="AJ557">
        <v>1</v>
      </c>
      <c r="AK557">
        <v>11</v>
      </c>
      <c r="AL557">
        <v>5</v>
      </c>
      <c r="AM557">
        <v>1</v>
      </c>
      <c r="AN557">
        <v>0</v>
      </c>
      <c r="AO557" t="s">
        <v>3086</v>
      </c>
      <c r="AP557" t="s">
        <v>68</v>
      </c>
      <c r="AQ557">
        <v>0.66800000000000004</v>
      </c>
      <c r="AR557" t="s">
        <v>69</v>
      </c>
      <c r="AS557">
        <v>12</v>
      </c>
      <c r="AT557">
        <v>5</v>
      </c>
      <c r="AU557">
        <v>2.8049999999999999E-2</v>
      </c>
      <c r="AV557">
        <v>-8.8500000000000002E-3</v>
      </c>
      <c r="AW557">
        <v>0.11561</v>
      </c>
      <c r="AX557">
        <v>-3.8449999999999998E-2</v>
      </c>
      <c r="AY557">
        <v>1.0160000000000001E-2</v>
      </c>
      <c r="AZ557">
        <v>-3.15E-3</v>
      </c>
      <c r="BA557">
        <v>8.7929999999999994E-2</v>
      </c>
      <c r="BB557">
        <v>1</v>
      </c>
      <c r="BC557" t="s">
        <v>70</v>
      </c>
      <c r="BD557">
        <v>-0.66700000000000004</v>
      </c>
      <c r="BE557">
        <v>-0.66700000000000004</v>
      </c>
      <c r="BF557" t="s">
        <v>71</v>
      </c>
      <c r="BG557">
        <v>0.20895522388059701</v>
      </c>
      <c r="BI557">
        <v>17</v>
      </c>
      <c r="BJ557">
        <v>8.7929999999999994E-2</v>
      </c>
      <c r="BK557">
        <v>0.20895522388059701</v>
      </c>
    </row>
    <row r="558" spans="1:63">
      <c r="A558">
        <v>3083</v>
      </c>
      <c r="B558" t="s">
        <v>3087</v>
      </c>
      <c r="D558" t="s">
        <v>66</v>
      </c>
      <c r="E558">
        <v>3102632</v>
      </c>
      <c r="F558">
        <v>3105043</v>
      </c>
      <c r="G558" t="s">
        <v>3089</v>
      </c>
      <c r="H558">
        <v>804</v>
      </c>
      <c r="I558" t="s">
        <v>63</v>
      </c>
      <c r="J558">
        <v>5</v>
      </c>
      <c r="K558" t="str">
        <f>HYPERLINK("Gene3083-zp_tree_all.dnd", "Gene3083-tree")</f>
        <v>Gene3083-tree</v>
      </c>
      <c r="L558">
        <v>1</v>
      </c>
      <c r="M558">
        <v>4</v>
      </c>
      <c r="N558">
        <v>1</v>
      </c>
      <c r="O558">
        <v>4</v>
      </c>
      <c r="P558">
        <v>0.8</v>
      </c>
      <c r="Q558" t="s">
        <v>65</v>
      </c>
      <c r="R558" t="s">
        <v>64</v>
      </c>
      <c r="S558" t="s">
        <v>66</v>
      </c>
      <c r="T558" t="s">
        <v>66</v>
      </c>
      <c r="U558">
        <v>3</v>
      </c>
      <c r="V558">
        <v>6</v>
      </c>
      <c r="W558">
        <v>18</v>
      </c>
      <c r="X558">
        <v>0.25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6</v>
      </c>
      <c r="AE558">
        <v>0</v>
      </c>
      <c r="AF558">
        <v>6</v>
      </c>
      <c r="AG558">
        <v>18</v>
      </c>
      <c r="AH558">
        <v>0.25</v>
      </c>
      <c r="AI558">
        <v>5</v>
      </c>
      <c r="AJ558">
        <v>2</v>
      </c>
      <c r="AK558">
        <v>78</v>
      </c>
      <c r="AL558">
        <v>14</v>
      </c>
      <c r="AM558">
        <v>76</v>
      </c>
      <c r="AN558">
        <v>10</v>
      </c>
      <c r="AO558" t="s">
        <v>3090</v>
      </c>
      <c r="AP558" t="s">
        <v>3091</v>
      </c>
      <c r="AQ558">
        <v>0.36499999999999999</v>
      </c>
      <c r="AR558" t="s">
        <v>69</v>
      </c>
      <c r="AS558">
        <v>154</v>
      </c>
      <c r="AT558">
        <v>24</v>
      </c>
      <c r="AU558">
        <v>3.5279999999999999E-2</v>
      </c>
      <c r="AV558">
        <v>-5.3600000000000002E-3</v>
      </c>
      <c r="AW558">
        <v>0.15518999999999999</v>
      </c>
      <c r="AX558">
        <v>-2.5219999999999999E-2</v>
      </c>
      <c r="AY558">
        <v>5.5999999999999999E-3</v>
      </c>
      <c r="AZ558">
        <v>-8.3000000000000001E-4</v>
      </c>
      <c r="BA558">
        <v>3.6089999999999997E-2</v>
      </c>
      <c r="BB558">
        <v>1</v>
      </c>
      <c r="BC558" t="s">
        <v>70</v>
      </c>
      <c r="BD558">
        <v>0.42199999999999999</v>
      </c>
      <c r="BE558">
        <v>0.24199999999999999</v>
      </c>
      <c r="BF558" t="s">
        <v>71</v>
      </c>
      <c r="BG558">
        <v>9.1066782307025099E-2</v>
      </c>
      <c r="BI558">
        <v>178</v>
      </c>
      <c r="BJ558">
        <v>3.6089999999999997E-2</v>
      </c>
      <c r="BK558">
        <v>9.1066782307025099E-2</v>
      </c>
    </row>
    <row r="559" spans="1:63">
      <c r="A559">
        <v>3097</v>
      </c>
      <c r="B559" t="s">
        <v>3094</v>
      </c>
      <c r="D559" t="s">
        <v>66</v>
      </c>
      <c r="E559">
        <v>3118850</v>
      </c>
      <c r="F559">
        <v>3119239</v>
      </c>
      <c r="G559" t="s">
        <v>546</v>
      </c>
      <c r="H559">
        <v>130</v>
      </c>
      <c r="I559" t="s">
        <v>63</v>
      </c>
      <c r="J559">
        <v>5</v>
      </c>
      <c r="K559" t="str">
        <f>HYPERLINK("Gene3097-zp_tree_all.dnd", "Gene3097-tree")</f>
        <v>Gene3097-tree</v>
      </c>
      <c r="L559">
        <v>2</v>
      </c>
      <c r="M559">
        <v>3</v>
      </c>
      <c r="N559">
        <v>2</v>
      </c>
      <c r="O559">
        <v>2</v>
      </c>
      <c r="P559">
        <v>0.5</v>
      </c>
      <c r="Q559" t="s">
        <v>124</v>
      </c>
      <c r="R559" t="s">
        <v>185</v>
      </c>
      <c r="S559">
        <v>0.30599999999999999</v>
      </c>
      <c r="T559" t="s">
        <v>69</v>
      </c>
      <c r="U559">
        <v>1</v>
      </c>
      <c r="V559">
        <v>2</v>
      </c>
      <c r="W559">
        <v>3</v>
      </c>
      <c r="X559">
        <v>0.4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2</v>
      </c>
      <c r="AF559">
        <v>2</v>
      </c>
      <c r="AG559">
        <v>3</v>
      </c>
      <c r="AH559">
        <v>0.4</v>
      </c>
      <c r="AI559">
        <v>3</v>
      </c>
      <c r="AJ559">
        <v>1</v>
      </c>
      <c r="AK559">
        <v>9</v>
      </c>
      <c r="AL559">
        <v>4</v>
      </c>
      <c r="AM559">
        <v>3</v>
      </c>
      <c r="AN559">
        <v>2</v>
      </c>
      <c r="AO559" t="s">
        <v>3096</v>
      </c>
      <c r="AP559" t="s">
        <v>3097</v>
      </c>
      <c r="AQ559">
        <v>1.508</v>
      </c>
      <c r="AR559" t="s">
        <v>69</v>
      </c>
      <c r="AS559">
        <v>12</v>
      </c>
      <c r="AT559">
        <v>6</v>
      </c>
      <c r="AU559">
        <v>2.521E-2</v>
      </c>
      <c r="AV559">
        <v>-3.3899999999999998E-3</v>
      </c>
      <c r="AW559">
        <v>8.1059999999999993E-2</v>
      </c>
      <c r="AX559">
        <v>-1.197E-2</v>
      </c>
      <c r="AY559">
        <v>1.103E-2</v>
      </c>
      <c r="AZ559">
        <v>-2.0100000000000001E-3</v>
      </c>
      <c r="BA559">
        <v>0.1361</v>
      </c>
      <c r="BB559">
        <v>1</v>
      </c>
      <c r="BC559" t="s">
        <v>70</v>
      </c>
      <c r="BD559">
        <v>0.307</v>
      </c>
      <c r="BE559">
        <v>0.307</v>
      </c>
      <c r="BF559" t="s">
        <v>71</v>
      </c>
      <c r="BG559">
        <v>0.19047619047618999</v>
      </c>
      <c r="BI559">
        <v>18</v>
      </c>
      <c r="BJ559">
        <v>0.1361</v>
      </c>
      <c r="BK559">
        <v>0.19047619047618999</v>
      </c>
    </row>
    <row r="560" spans="1:63">
      <c r="A560">
        <v>3098</v>
      </c>
      <c r="B560" t="s">
        <v>3098</v>
      </c>
      <c r="D560" t="s">
        <v>66</v>
      </c>
      <c r="E560">
        <v>3119568</v>
      </c>
      <c r="F560">
        <v>3119837</v>
      </c>
      <c r="G560" t="s">
        <v>74</v>
      </c>
      <c r="H560">
        <v>90</v>
      </c>
      <c r="I560" t="s">
        <v>85</v>
      </c>
      <c r="J560">
        <v>4</v>
      </c>
      <c r="K560" t="str">
        <f>HYPERLINK("Gene3098-zp_tree_all.dnd", "Gene3098-tree")</f>
        <v>Gene3098-tree</v>
      </c>
      <c r="L560">
        <v>3</v>
      </c>
      <c r="M560">
        <v>1</v>
      </c>
      <c r="N560">
        <v>3</v>
      </c>
      <c r="O560">
        <v>1</v>
      </c>
      <c r="P560">
        <v>0.25</v>
      </c>
      <c r="Q560" t="s">
        <v>86</v>
      </c>
      <c r="R560" t="s">
        <v>65</v>
      </c>
      <c r="S560" t="s">
        <v>66</v>
      </c>
      <c r="T560" t="s">
        <v>66</v>
      </c>
      <c r="U560">
        <v>0</v>
      </c>
      <c r="V560">
        <v>0</v>
      </c>
      <c r="W560">
        <v>4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4</v>
      </c>
      <c r="AH560">
        <v>0</v>
      </c>
      <c r="AI560">
        <v>3</v>
      </c>
      <c r="AJ560">
        <v>1</v>
      </c>
      <c r="AK560">
        <v>8</v>
      </c>
      <c r="AL560">
        <v>4</v>
      </c>
      <c r="AM560">
        <v>2</v>
      </c>
      <c r="AN560">
        <v>0</v>
      </c>
      <c r="AO560" t="s">
        <v>3100</v>
      </c>
      <c r="AP560" t="s">
        <v>68</v>
      </c>
      <c r="AQ560">
        <v>0.61299999999999999</v>
      </c>
      <c r="AR560" t="s">
        <v>69</v>
      </c>
      <c r="AS560">
        <v>10</v>
      </c>
      <c r="AT560">
        <v>4</v>
      </c>
      <c r="AU560">
        <v>2.716E-2</v>
      </c>
      <c r="AV560">
        <v>-7.2300000000000003E-3</v>
      </c>
      <c r="AW560">
        <v>0.10621999999999999</v>
      </c>
      <c r="AX560">
        <v>-2.4369999999999999E-2</v>
      </c>
      <c r="AY560">
        <v>9.4199999999999996E-3</v>
      </c>
      <c r="AZ560">
        <v>-3.8500000000000001E-3</v>
      </c>
      <c r="BA560">
        <v>8.8679999999999995E-2</v>
      </c>
      <c r="BB560">
        <v>1</v>
      </c>
      <c r="BC560" t="s">
        <v>70</v>
      </c>
      <c r="BD560">
        <v>-0.40300000000000002</v>
      </c>
      <c r="BE560">
        <v>-0.40300000000000002</v>
      </c>
      <c r="BF560" t="s">
        <v>71</v>
      </c>
      <c r="BG560">
        <v>5.4545454545454501E-2</v>
      </c>
      <c r="BI560">
        <v>14</v>
      </c>
      <c r="BJ560">
        <v>8.8679999999999995E-2</v>
      </c>
      <c r="BK560">
        <v>5.4545454545454501E-2</v>
      </c>
    </row>
    <row r="561" spans="1:63">
      <c r="A561">
        <v>3105</v>
      </c>
      <c r="B561" t="s">
        <v>3105</v>
      </c>
      <c r="D561" t="s">
        <v>66</v>
      </c>
      <c r="E561">
        <v>3125780</v>
      </c>
      <c r="F561">
        <v>3127675</v>
      </c>
      <c r="G561" t="s">
        <v>3107</v>
      </c>
      <c r="H561">
        <v>632</v>
      </c>
      <c r="I561" t="s">
        <v>63</v>
      </c>
      <c r="J561">
        <v>5</v>
      </c>
      <c r="K561" t="str">
        <f>HYPERLINK("Gene3105-zp_tree_all.dnd", "Gene3105-tree")</f>
        <v>Gene3105-tree</v>
      </c>
      <c r="L561">
        <v>2</v>
      </c>
      <c r="M561">
        <v>3</v>
      </c>
      <c r="N561">
        <v>2</v>
      </c>
      <c r="O561">
        <v>3</v>
      </c>
      <c r="P561">
        <v>0.6</v>
      </c>
      <c r="Q561" t="s">
        <v>124</v>
      </c>
      <c r="R561" t="s">
        <v>86</v>
      </c>
      <c r="S561" t="s">
        <v>66</v>
      </c>
      <c r="T561" t="s">
        <v>66</v>
      </c>
      <c r="U561">
        <v>1</v>
      </c>
      <c r="V561">
        <v>2</v>
      </c>
      <c r="W561">
        <v>4</v>
      </c>
      <c r="X561">
        <v>0.33333000000000002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2</v>
      </c>
      <c r="AF561">
        <v>2</v>
      </c>
      <c r="AG561">
        <v>4</v>
      </c>
      <c r="AH561">
        <v>0.33333000000000002</v>
      </c>
      <c r="AI561">
        <v>5</v>
      </c>
      <c r="AJ561">
        <v>2</v>
      </c>
      <c r="AK561">
        <v>39</v>
      </c>
      <c r="AL561">
        <v>5</v>
      </c>
      <c r="AM561">
        <v>50</v>
      </c>
      <c r="AN561">
        <v>1</v>
      </c>
      <c r="AO561" t="s">
        <v>3108</v>
      </c>
      <c r="AP561" t="s">
        <v>3109</v>
      </c>
      <c r="AQ561">
        <v>1.5529999999999999</v>
      </c>
      <c r="AR561" t="s">
        <v>69</v>
      </c>
      <c r="AS561">
        <v>89</v>
      </c>
      <c r="AT561">
        <v>6</v>
      </c>
      <c r="AU561">
        <v>2.5159999999999998E-2</v>
      </c>
      <c r="AV561">
        <v>-3.7499999999999999E-3</v>
      </c>
      <c r="AW561">
        <v>0.12096</v>
      </c>
      <c r="AX561">
        <v>-1.9120000000000002E-2</v>
      </c>
      <c r="AY561">
        <v>1.5499999999999999E-3</v>
      </c>
      <c r="AZ561">
        <v>-2.7E-4</v>
      </c>
      <c r="BA561">
        <v>1.285E-2</v>
      </c>
      <c r="BB561">
        <v>1</v>
      </c>
      <c r="BC561" t="s">
        <v>70</v>
      </c>
      <c r="BD561">
        <v>0.52100000000000002</v>
      </c>
      <c r="BE561">
        <v>0.36799999999999999</v>
      </c>
      <c r="BF561" t="s">
        <v>71</v>
      </c>
      <c r="BG561">
        <v>8.3932853717026301E-2</v>
      </c>
      <c r="BI561">
        <v>95</v>
      </c>
      <c r="BJ561">
        <v>1.285E-2</v>
      </c>
      <c r="BK561">
        <v>8.3932853717026301E-2</v>
      </c>
    </row>
    <row r="562" spans="1:63">
      <c r="A562">
        <v>3106</v>
      </c>
      <c r="B562" t="s">
        <v>3110</v>
      </c>
      <c r="D562" t="s">
        <v>66</v>
      </c>
      <c r="E562">
        <v>3127828</v>
      </c>
      <c r="F562">
        <v>3129027</v>
      </c>
      <c r="G562" t="s">
        <v>3112</v>
      </c>
      <c r="H562">
        <v>400</v>
      </c>
      <c r="I562" t="s">
        <v>63</v>
      </c>
      <c r="J562">
        <v>5</v>
      </c>
      <c r="K562" t="str">
        <f>HYPERLINK("Gene3106-zp_tree_all.dnd", "Gene3106-tree")</f>
        <v>Gene3106-tree</v>
      </c>
      <c r="L562">
        <v>4</v>
      </c>
      <c r="M562">
        <v>1</v>
      </c>
      <c r="N562">
        <v>4</v>
      </c>
      <c r="O562">
        <v>1</v>
      </c>
      <c r="P562">
        <v>0.2</v>
      </c>
      <c r="Q562" t="s">
        <v>64</v>
      </c>
      <c r="R562" t="s">
        <v>65</v>
      </c>
      <c r="S562" t="s">
        <v>66</v>
      </c>
      <c r="T562" t="s">
        <v>66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1</v>
      </c>
      <c r="AH562">
        <v>0</v>
      </c>
      <c r="AI562">
        <v>5</v>
      </c>
      <c r="AJ562">
        <v>2</v>
      </c>
      <c r="AK562">
        <v>26</v>
      </c>
      <c r="AL562">
        <v>1</v>
      </c>
      <c r="AM562">
        <v>31</v>
      </c>
      <c r="AN562">
        <v>0</v>
      </c>
      <c r="AO562" t="s">
        <v>3113</v>
      </c>
      <c r="AP562" t="s">
        <v>68</v>
      </c>
      <c r="AQ562">
        <v>0.497</v>
      </c>
      <c r="AR562" t="s">
        <v>69</v>
      </c>
      <c r="AS562">
        <v>57</v>
      </c>
      <c r="AT562">
        <v>1</v>
      </c>
      <c r="AU562">
        <v>2.4250000000000001E-2</v>
      </c>
      <c r="AV562">
        <v>-4.47E-3</v>
      </c>
      <c r="AW562">
        <v>0.11039</v>
      </c>
      <c r="AX562">
        <v>-2.0910000000000002E-2</v>
      </c>
      <c r="AY562">
        <v>4.4000000000000002E-4</v>
      </c>
      <c r="AZ562">
        <v>-1.7000000000000001E-4</v>
      </c>
      <c r="BA562">
        <v>3.9699999999999996E-3</v>
      </c>
      <c r="BB562">
        <v>1</v>
      </c>
      <c r="BC562" t="s">
        <v>70</v>
      </c>
      <c r="BD562">
        <v>0.48099999999999998</v>
      </c>
      <c r="BE562">
        <v>0.34300000000000003</v>
      </c>
      <c r="BF562" t="s">
        <v>71</v>
      </c>
      <c r="BG562">
        <v>5.6057866184448399E-2</v>
      </c>
      <c r="BI562">
        <v>58</v>
      </c>
      <c r="BJ562">
        <v>3.9699999999999996E-3</v>
      </c>
      <c r="BK562">
        <v>5.6057866184448399E-2</v>
      </c>
    </row>
    <row r="563" spans="1:63">
      <c r="A563">
        <v>3108</v>
      </c>
      <c r="B563" t="s">
        <v>3114</v>
      </c>
      <c r="D563" t="s">
        <v>66</v>
      </c>
      <c r="E563">
        <v>3131155</v>
      </c>
      <c r="F563">
        <v>3131394</v>
      </c>
      <c r="G563" t="s">
        <v>74</v>
      </c>
      <c r="H563">
        <v>80</v>
      </c>
      <c r="I563" t="s">
        <v>63</v>
      </c>
      <c r="J563">
        <v>5</v>
      </c>
      <c r="K563" t="str">
        <f>HYPERLINK("Gene3108-zp_tree_all.dnd", "Gene3108-tree")</f>
        <v>Gene3108-tree</v>
      </c>
      <c r="L563">
        <v>2</v>
      </c>
      <c r="M563">
        <v>3</v>
      </c>
      <c r="N563">
        <v>2</v>
      </c>
      <c r="O563">
        <v>3</v>
      </c>
      <c r="P563">
        <v>0.6</v>
      </c>
      <c r="Q563" t="s">
        <v>124</v>
      </c>
      <c r="R563" t="s">
        <v>86</v>
      </c>
      <c r="S563" t="s">
        <v>66</v>
      </c>
      <c r="T563" t="s">
        <v>66</v>
      </c>
      <c r="U563">
        <v>0</v>
      </c>
      <c r="V563">
        <v>0</v>
      </c>
      <c r="W563">
        <v>3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3</v>
      </c>
      <c r="AH563">
        <v>0</v>
      </c>
      <c r="AI563">
        <v>4</v>
      </c>
      <c r="AJ563">
        <v>2</v>
      </c>
      <c r="AK563">
        <v>2</v>
      </c>
      <c r="AL563">
        <v>3</v>
      </c>
      <c r="AM563">
        <v>9</v>
      </c>
      <c r="AN563">
        <v>0</v>
      </c>
      <c r="AO563" t="s">
        <v>3116</v>
      </c>
      <c r="AP563" t="s">
        <v>68</v>
      </c>
      <c r="AQ563">
        <v>1.5</v>
      </c>
      <c r="AR563" t="s">
        <v>69</v>
      </c>
      <c r="AS563">
        <v>11</v>
      </c>
      <c r="AT563">
        <v>3</v>
      </c>
      <c r="AU563">
        <v>3.1220000000000001E-2</v>
      </c>
      <c r="AV563">
        <v>-4.7800000000000004E-3</v>
      </c>
      <c r="AW563">
        <v>0.12970000000000001</v>
      </c>
      <c r="AX563">
        <v>-2.402E-2</v>
      </c>
      <c r="AY563">
        <v>6.5799999999999999E-3</v>
      </c>
      <c r="AZ563">
        <v>-1.0399999999999999E-3</v>
      </c>
      <c r="BA563">
        <v>5.0700000000000002E-2</v>
      </c>
      <c r="BB563">
        <v>1</v>
      </c>
      <c r="BC563" t="s">
        <v>70</v>
      </c>
      <c r="BD563">
        <v>0.73799999999999999</v>
      </c>
      <c r="BE563">
        <v>0.73799999999999999</v>
      </c>
      <c r="BF563" t="s">
        <v>71</v>
      </c>
      <c r="BG563">
        <v>0.17171717171717099</v>
      </c>
      <c r="BI563">
        <v>14</v>
      </c>
      <c r="BJ563">
        <v>5.0700000000000002E-2</v>
      </c>
      <c r="BK563">
        <v>0.17171717171717099</v>
      </c>
    </row>
    <row r="564" spans="1:63">
      <c r="A564">
        <v>3109</v>
      </c>
      <c r="B564" t="s">
        <v>3117</v>
      </c>
      <c r="D564" t="s">
        <v>66</v>
      </c>
      <c r="E564">
        <v>3131449</v>
      </c>
      <c r="F564">
        <v>3132219</v>
      </c>
      <c r="G564" t="s">
        <v>3119</v>
      </c>
      <c r="H564">
        <v>257</v>
      </c>
      <c r="I564" t="s">
        <v>85</v>
      </c>
      <c r="J564">
        <v>4</v>
      </c>
      <c r="K564" t="str">
        <f>HYPERLINK("Gene3109-zp_tree_all.dnd", "Gene3109-tree")</f>
        <v>Gene3109-tree</v>
      </c>
      <c r="L564">
        <v>1</v>
      </c>
      <c r="M564">
        <v>3</v>
      </c>
      <c r="N564">
        <v>1</v>
      </c>
      <c r="O564">
        <v>3</v>
      </c>
      <c r="P564">
        <v>0.75</v>
      </c>
      <c r="Q564" t="s">
        <v>65</v>
      </c>
      <c r="R564" t="s">
        <v>86</v>
      </c>
      <c r="S564" t="s">
        <v>66</v>
      </c>
      <c r="T564" t="s">
        <v>66</v>
      </c>
      <c r="U564">
        <v>0</v>
      </c>
      <c r="V564">
        <v>0</v>
      </c>
      <c r="W564">
        <v>8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8</v>
      </c>
      <c r="AH564">
        <v>0</v>
      </c>
      <c r="AI564">
        <v>4</v>
      </c>
      <c r="AJ564">
        <v>1</v>
      </c>
      <c r="AK564">
        <v>46</v>
      </c>
      <c r="AL564">
        <v>7</v>
      </c>
      <c r="AM564">
        <v>0</v>
      </c>
      <c r="AN564">
        <v>1</v>
      </c>
      <c r="AO564" t="s">
        <v>3120</v>
      </c>
      <c r="AP564" t="s">
        <v>68</v>
      </c>
      <c r="AQ564">
        <v>1.004</v>
      </c>
      <c r="AR564" t="s">
        <v>69</v>
      </c>
      <c r="AS564">
        <v>46</v>
      </c>
      <c r="AT564">
        <v>8</v>
      </c>
      <c r="AU564">
        <v>3.3939999999999998E-2</v>
      </c>
      <c r="AV564">
        <v>-7.3200000000000001E-3</v>
      </c>
      <c r="AW564">
        <v>0.14233999999999999</v>
      </c>
      <c r="AX564">
        <v>-3.2820000000000002E-2</v>
      </c>
      <c r="AY564">
        <v>7.0299999999999998E-3</v>
      </c>
      <c r="AZ564">
        <v>-1.57E-3</v>
      </c>
      <c r="BA564">
        <v>4.9369999999999997E-2</v>
      </c>
      <c r="BB564">
        <v>1</v>
      </c>
      <c r="BC564" t="s">
        <v>70</v>
      </c>
      <c r="BD564">
        <v>-0.61799999999999999</v>
      </c>
      <c r="BE564">
        <v>-0.61799999999999999</v>
      </c>
      <c r="BF564" t="s">
        <v>71</v>
      </c>
      <c r="BG564">
        <v>0.154471544715447</v>
      </c>
      <c r="BI564">
        <v>54</v>
      </c>
      <c r="BJ564">
        <v>4.9369999999999997E-2</v>
      </c>
      <c r="BK564">
        <v>0.154471544715447</v>
      </c>
    </row>
    <row r="565" spans="1:63">
      <c r="A565">
        <v>3113</v>
      </c>
      <c r="B565" t="s">
        <v>3121</v>
      </c>
      <c r="D565" t="s">
        <v>66</v>
      </c>
      <c r="E565">
        <v>3134986</v>
      </c>
      <c r="F565">
        <v>3135459</v>
      </c>
      <c r="G565" t="s">
        <v>3123</v>
      </c>
      <c r="H565">
        <v>158</v>
      </c>
      <c r="I565" t="s">
        <v>63</v>
      </c>
      <c r="J565">
        <v>5</v>
      </c>
      <c r="K565" t="str">
        <f>HYPERLINK("Gene3113-zp_tree_all.dnd", "Gene3113-tree")</f>
        <v>Gene3113-tree</v>
      </c>
      <c r="L565">
        <v>4</v>
      </c>
      <c r="M565">
        <v>1</v>
      </c>
      <c r="N565">
        <v>4</v>
      </c>
      <c r="O565">
        <v>1</v>
      </c>
      <c r="P565">
        <v>0.2</v>
      </c>
      <c r="Q565" t="s">
        <v>64</v>
      </c>
      <c r="R565" t="s">
        <v>65</v>
      </c>
      <c r="S565" t="s">
        <v>66</v>
      </c>
      <c r="T565" t="s">
        <v>66</v>
      </c>
      <c r="U565">
        <v>0</v>
      </c>
      <c r="V565">
        <v>0</v>
      </c>
      <c r="W565">
        <v>3</v>
      </c>
      <c r="X565">
        <v>0</v>
      </c>
      <c r="Y565">
        <v>0</v>
      </c>
      <c r="Z565">
        <v>0</v>
      </c>
      <c r="AA565">
        <v>0</v>
      </c>
      <c r="AB565">
        <v>2</v>
      </c>
      <c r="AC565">
        <v>0</v>
      </c>
      <c r="AD565">
        <v>0</v>
      </c>
      <c r="AE565">
        <v>0</v>
      </c>
      <c r="AF565">
        <v>0</v>
      </c>
      <c r="AG565">
        <v>1</v>
      </c>
      <c r="AH565">
        <v>0</v>
      </c>
      <c r="AI565">
        <v>4</v>
      </c>
      <c r="AJ565">
        <v>2</v>
      </c>
      <c r="AK565">
        <v>12</v>
      </c>
      <c r="AL565">
        <v>1</v>
      </c>
      <c r="AM565">
        <v>11</v>
      </c>
      <c r="AN565">
        <v>2</v>
      </c>
      <c r="AO565" t="s">
        <v>3124</v>
      </c>
      <c r="AP565" t="s">
        <v>3125</v>
      </c>
      <c r="AQ565">
        <v>0.47299999999999998</v>
      </c>
      <c r="AR565" t="s">
        <v>69</v>
      </c>
      <c r="AS565">
        <v>23</v>
      </c>
      <c r="AT565">
        <v>3</v>
      </c>
      <c r="AU565">
        <v>2.6579999999999999E-2</v>
      </c>
      <c r="AV565">
        <v>-3.8500000000000001E-3</v>
      </c>
      <c r="AW565">
        <v>0.12273000000000001</v>
      </c>
      <c r="AX565">
        <v>-1.788E-2</v>
      </c>
      <c r="AY565">
        <v>4.28E-3</v>
      </c>
      <c r="AZ565">
        <v>-1.0200000000000001E-3</v>
      </c>
      <c r="BA565">
        <v>3.4889999999999997E-2</v>
      </c>
      <c r="BB565">
        <v>1</v>
      </c>
      <c r="BC565" t="s">
        <v>70</v>
      </c>
      <c r="BD565">
        <v>0.372</v>
      </c>
      <c r="BE565">
        <v>0.372</v>
      </c>
      <c r="BF565" t="s">
        <v>71</v>
      </c>
      <c r="BG565">
        <v>0.190243902439024</v>
      </c>
      <c r="BI565">
        <v>26</v>
      </c>
      <c r="BJ565">
        <v>3.4889999999999997E-2</v>
      </c>
      <c r="BK565">
        <v>0.190243902439024</v>
      </c>
    </row>
    <row r="566" spans="1:63">
      <c r="A566">
        <v>3114</v>
      </c>
      <c r="B566" t="s">
        <v>3126</v>
      </c>
      <c r="D566" t="s">
        <v>66</v>
      </c>
      <c r="E566">
        <v>3135671</v>
      </c>
      <c r="F566">
        <v>3136072</v>
      </c>
      <c r="G566" t="s">
        <v>74</v>
      </c>
      <c r="H566">
        <v>134</v>
      </c>
      <c r="I566" t="s">
        <v>63</v>
      </c>
      <c r="J566">
        <v>5</v>
      </c>
      <c r="K566" t="str">
        <f>HYPERLINK("Gene3114-zp_tree_all.dnd", "Gene3114-tree")</f>
        <v>Gene3114-tree</v>
      </c>
      <c r="L566">
        <v>1</v>
      </c>
      <c r="M566">
        <v>4</v>
      </c>
      <c r="N566">
        <v>1</v>
      </c>
      <c r="O566">
        <v>4</v>
      </c>
      <c r="P566">
        <v>0.8</v>
      </c>
      <c r="Q566" t="s">
        <v>65</v>
      </c>
      <c r="R566" t="s">
        <v>64</v>
      </c>
      <c r="S566" t="s">
        <v>66</v>
      </c>
      <c r="T566" t="s">
        <v>66</v>
      </c>
      <c r="U566">
        <v>1</v>
      </c>
      <c r="V566">
        <v>2</v>
      </c>
      <c r="W566">
        <v>5</v>
      </c>
      <c r="X566">
        <v>0.28571000000000002</v>
      </c>
      <c r="Y566">
        <v>0</v>
      </c>
      <c r="Z566">
        <v>0</v>
      </c>
      <c r="AA566">
        <v>0</v>
      </c>
      <c r="AB566">
        <v>2</v>
      </c>
      <c r="AC566">
        <v>0</v>
      </c>
      <c r="AD566">
        <v>0</v>
      </c>
      <c r="AE566">
        <v>0</v>
      </c>
      <c r="AF566">
        <v>0</v>
      </c>
      <c r="AG566">
        <v>5</v>
      </c>
      <c r="AH566">
        <v>0</v>
      </c>
      <c r="AI566">
        <v>4</v>
      </c>
      <c r="AJ566">
        <v>2</v>
      </c>
      <c r="AK566">
        <v>4</v>
      </c>
      <c r="AL566">
        <v>5</v>
      </c>
      <c r="AM566">
        <v>12</v>
      </c>
      <c r="AN566">
        <v>2</v>
      </c>
      <c r="AO566" t="s">
        <v>3128</v>
      </c>
      <c r="AP566" t="s">
        <v>3129</v>
      </c>
      <c r="AQ566">
        <v>1.8440000000000001</v>
      </c>
      <c r="AR566" t="s">
        <v>69</v>
      </c>
      <c r="AS566">
        <v>16</v>
      </c>
      <c r="AT566">
        <v>7</v>
      </c>
      <c r="AU566">
        <v>2.886E-2</v>
      </c>
      <c r="AV566">
        <v>-4.3400000000000001E-3</v>
      </c>
      <c r="AW566">
        <v>0.10279000000000001</v>
      </c>
      <c r="AX566">
        <v>-1.9539999999999998E-2</v>
      </c>
      <c r="AY566">
        <v>9.1500000000000001E-3</v>
      </c>
      <c r="AZ566">
        <v>-1.2999999999999999E-3</v>
      </c>
      <c r="BA566">
        <v>8.9029999999999998E-2</v>
      </c>
      <c r="BB566">
        <v>1</v>
      </c>
      <c r="BC566" t="s">
        <v>70</v>
      </c>
      <c r="BD566">
        <v>0.73</v>
      </c>
      <c r="BE566">
        <v>0.73</v>
      </c>
      <c r="BF566" t="s">
        <v>71</v>
      </c>
      <c r="BG566">
        <v>1.9607843137254902E-2</v>
      </c>
      <c r="BI566">
        <v>23</v>
      </c>
      <c r="BJ566">
        <v>8.9029999999999998E-2</v>
      </c>
      <c r="BK566">
        <v>1.9607843137254902E-2</v>
      </c>
    </row>
    <row r="567" spans="1:63">
      <c r="A567">
        <v>3115</v>
      </c>
      <c r="B567" t="s">
        <v>3130</v>
      </c>
      <c r="D567" t="s">
        <v>66</v>
      </c>
      <c r="E567">
        <v>3136241</v>
      </c>
      <c r="F567">
        <v>3136675</v>
      </c>
      <c r="G567" t="s">
        <v>3132</v>
      </c>
      <c r="H567">
        <v>145</v>
      </c>
      <c r="I567" t="s">
        <v>63</v>
      </c>
      <c r="J567">
        <v>5</v>
      </c>
      <c r="K567" t="str">
        <f>HYPERLINK("Gene3115-zp_tree_all.dnd", "Gene3115-tree")</f>
        <v>Gene3115-tree</v>
      </c>
      <c r="L567">
        <v>5</v>
      </c>
      <c r="M567">
        <v>0</v>
      </c>
      <c r="N567">
        <v>5</v>
      </c>
      <c r="O567">
        <v>0</v>
      </c>
      <c r="P567">
        <v>0</v>
      </c>
      <c r="Q567" t="s">
        <v>96</v>
      </c>
      <c r="R567" t="s">
        <v>66</v>
      </c>
      <c r="S567" t="s">
        <v>66</v>
      </c>
      <c r="T567" t="s">
        <v>66</v>
      </c>
      <c r="U567">
        <v>0</v>
      </c>
      <c r="V567">
        <v>0</v>
      </c>
      <c r="W567">
        <v>2</v>
      </c>
      <c r="X567">
        <v>0</v>
      </c>
      <c r="Y567">
        <v>0</v>
      </c>
      <c r="Z567">
        <v>0</v>
      </c>
      <c r="AA567">
        <v>0</v>
      </c>
      <c r="AB567">
        <v>2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5</v>
      </c>
      <c r="AJ567">
        <v>2</v>
      </c>
      <c r="AK567">
        <v>11</v>
      </c>
      <c r="AL567">
        <v>0</v>
      </c>
      <c r="AM567">
        <v>10</v>
      </c>
      <c r="AN567">
        <v>2</v>
      </c>
      <c r="AO567" t="s">
        <v>68</v>
      </c>
      <c r="AP567" t="s">
        <v>3133</v>
      </c>
      <c r="AQ567">
        <v>0.85299999999999998</v>
      </c>
      <c r="AR567" t="s">
        <v>69</v>
      </c>
      <c r="AS567">
        <v>21</v>
      </c>
      <c r="AT567">
        <v>2</v>
      </c>
      <c r="AU567">
        <v>2.657E-2</v>
      </c>
      <c r="AV567">
        <v>-4.3600000000000002E-3</v>
      </c>
      <c r="AW567">
        <v>0.12509999999999999</v>
      </c>
      <c r="AX567">
        <v>-2.009E-2</v>
      </c>
      <c r="AY567">
        <v>3.5599999999999998E-3</v>
      </c>
      <c r="AZ567">
        <v>-8.4999999999999995E-4</v>
      </c>
      <c r="BA567">
        <v>2.844E-2</v>
      </c>
      <c r="BB567">
        <v>1</v>
      </c>
      <c r="BC567" t="s">
        <v>70</v>
      </c>
      <c r="BD567">
        <v>0.55700000000000005</v>
      </c>
      <c r="BE567">
        <v>0.51100000000000001</v>
      </c>
      <c r="BF567" t="s">
        <v>71</v>
      </c>
      <c r="BG567">
        <v>0.13142857142857101</v>
      </c>
      <c r="BI567">
        <v>23</v>
      </c>
      <c r="BJ567">
        <v>2.844E-2</v>
      </c>
      <c r="BK567">
        <v>0.13142857142857101</v>
      </c>
    </row>
    <row r="568" spans="1:63">
      <c r="A568">
        <v>3118</v>
      </c>
      <c r="B568" t="s">
        <v>3134</v>
      </c>
      <c r="D568" t="s">
        <v>66</v>
      </c>
      <c r="E568">
        <v>3137498</v>
      </c>
      <c r="F568">
        <v>3137968</v>
      </c>
      <c r="G568" t="s">
        <v>3136</v>
      </c>
      <c r="H568">
        <v>157</v>
      </c>
      <c r="I568" t="s">
        <v>63</v>
      </c>
      <c r="J568">
        <v>5</v>
      </c>
      <c r="K568" t="str">
        <f>HYPERLINK("Gene3118-zp_tree_all.dnd", "Gene3118-tree")</f>
        <v>Gene3118-tree</v>
      </c>
      <c r="L568">
        <v>4</v>
      </c>
      <c r="M568">
        <v>1</v>
      </c>
      <c r="N568">
        <v>4</v>
      </c>
      <c r="O568">
        <v>1</v>
      </c>
      <c r="P568">
        <v>0.2</v>
      </c>
      <c r="Q568" t="s">
        <v>64</v>
      </c>
      <c r="R568" t="s">
        <v>65</v>
      </c>
      <c r="S568" t="s">
        <v>66</v>
      </c>
      <c r="T568" t="s">
        <v>66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1</v>
      </c>
      <c r="AH568">
        <v>0</v>
      </c>
      <c r="AI568">
        <v>4</v>
      </c>
      <c r="AJ568">
        <v>2</v>
      </c>
      <c r="AK568">
        <v>10</v>
      </c>
      <c r="AL568">
        <v>1</v>
      </c>
      <c r="AM568">
        <v>11</v>
      </c>
      <c r="AN568">
        <v>0</v>
      </c>
      <c r="AO568" t="s">
        <v>3137</v>
      </c>
      <c r="AP568" t="s">
        <v>68</v>
      </c>
      <c r="AQ568">
        <v>0.64</v>
      </c>
      <c r="AR568" t="s">
        <v>69</v>
      </c>
      <c r="AS568">
        <v>21</v>
      </c>
      <c r="AT568">
        <v>1</v>
      </c>
      <c r="AU568">
        <v>2.2929999999999999E-2</v>
      </c>
      <c r="AV568">
        <v>-3.7200000000000002E-3</v>
      </c>
      <c r="AW568">
        <v>0.11047999999999999</v>
      </c>
      <c r="AX568">
        <v>-1.8939999999999999E-2</v>
      </c>
      <c r="AY568">
        <v>1.09E-3</v>
      </c>
      <c r="AZ568">
        <v>-4.2000000000000002E-4</v>
      </c>
      <c r="BA568">
        <v>9.8700000000000003E-3</v>
      </c>
      <c r="BB568">
        <v>1</v>
      </c>
      <c r="BC568" t="s">
        <v>70</v>
      </c>
      <c r="BD568">
        <v>0.52900000000000003</v>
      </c>
      <c r="BE568">
        <v>0.23499999999999999</v>
      </c>
      <c r="BF568" t="s">
        <v>71</v>
      </c>
      <c r="BG568">
        <v>0.116504854368932</v>
      </c>
      <c r="BI568">
        <v>22</v>
      </c>
      <c r="BJ568">
        <v>9.8700000000000003E-3</v>
      </c>
      <c r="BK568">
        <v>0.116504854368932</v>
      </c>
    </row>
    <row r="569" spans="1:63">
      <c r="A569">
        <v>3121</v>
      </c>
      <c r="B569" t="s">
        <v>3138</v>
      </c>
      <c r="D569" t="s">
        <v>66</v>
      </c>
      <c r="E569">
        <v>3138981</v>
      </c>
      <c r="F569">
        <v>3139226</v>
      </c>
      <c r="G569" t="s">
        <v>3140</v>
      </c>
      <c r="H569">
        <v>82</v>
      </c>
      <c r="I569" t="s">
        <v>63</v>
      </c>
      <c r="J569">
        <v>5</v>
      </c>
      <c r="K569" t="str">
        <f>HYPERLINK("Gene3121-zp_tree_all.dnd", "Gene3121-tree")</f>
        <v>Gene3121-tree</v>
      </c>
      <c r="L569">
        <v>5</v>
      </c>
      <c r="M569">
        <v>0</v>
      </c>
      <c r="N569">
        <v>5</v>
      </c>
      <c r="O569">
        <v>0</v>
      </c>
      <c r="P569">
        <v>0</v>
      </c>
      <c r="Q569" t="s">
        <v>96</v>
      </c>
      <c r="R569" t="s">
        <v>66</v>
      </c>
      <c r="S569" t="s">
        <v>66</v>
      </c>
      <c r="T569" t="s">
        <v>66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4</v>
      </c>
      <c r="AJ569">
        <v>2</v>
      </c>
      <c r="AK569">
        <v>10</v>
      </c>
      <c r="AL569">
        <v>0</v>
      </c>
      <c r="AM569">
        <v>10</v>
      </c>
      <c r="AN569">
        <v>0</v>
      </c>
      <c r="AO569" t="s">
        <v>68</v>
      </c>
      <c r="AP569" t="s">
        <v>68</v>
      </c>
      <c r="AQ569">
        <v>0</v>
      </c>
      <c r="AR569" t="s">
        <v>69</v>
      </c>
      <c r="AS569">
        <v>20</v>
      </c>
      <c r="AT569">
        <v>0</v>
      </c>
      <c r="AU569">
        <v>3.8210000000000001E-2</v>
      </c>
      <c r="AV569">
        <v>-4.9199999999999999E-3</v>
      </c>
      <c r="AW569">
        <v>0.21648000000000001</v>
      </c>
      <c r="AX569">
        <v>-3.0210000000000001E-2</v>
      </c>
      <c r="AY569">
        <v>0</v>
      </c>
      <c r="AZ569">
        <v>0</v>
      </c>
      <c r="BA569">
        <v>0</v>
      </c>
      <c r="BB569">
        <v>1</v>
      </c>
      <c r="BC569" t="s">
        <v>70</v>
      </c>
      <c r="BD569">
        <v>0.64800000000000002</v>
      </c>
      <c r="BE569">
        <v>0.307</v>
      </c>
      <c r="BF569" t="s">
        <v>71</v>
      </c>
      <c r="BG569">
        <v>5.7692307692307598E-2</v>
      </c>
      <c r="BI569">
        <v>20</v>
      </c>
      <c r="BJ569">
        <v>0</v>
      </c>
      <c r="BK569">
        <v>5.7692307692307598E-2</v>
      </c>
    </row>
    <row r="570" spans="1:63">
      <c r="A570">
        <v>3131</v>
      </c>
      <c r="B570" t="s">
        <v>3143</v>
      </c>
      <c r="D570" t="s">
        <v>66</v>
      </c>
      <c r="E570">
        <v>3148904</v>
      </c>
      <c r="F570">
        <v>3149716</v>
      </c>
      <c r="G570" t="s">
        <v>3145</v>
      </c>
      <c r="H570">
        <v>271</v>
      </c>
      <c r="I570" t="s">
        <v>106</v>
      </c>
      <c r="J570">
        <v>4</v>
      </c>
      <c r="K570" t="str">
        <f>HYPERLINK("Gene3131-zp_tree_all.dnd", "Gene3131-tree")</f>
        <v>Gene3131-tree</v>
      </c>
      <c r="L570">
        <v>4</v>
      </c>
      <c r="M570">
        <v>0</v>
      </c>
      <c r="N570">
        <v>4</v>
      </c>
      <c r="O570">
        <v>0</v>
      </c>
      <c r="P570">
        <v>0</v>
      </c>
      <c r="Q570" t="s">
        <v>64</v>
      </c>
      <c r="R570" t="s">
        <v>66</v>
      </c>
      <c r="S570" t="s">
        <v>66</v>
      </c>
      <c r="T570" t="s">
        <v>66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4</v>
      </c>
      <c r="AJ570">
        <v>1</v>
      </c>
      <c r="AK570">
        <v>41</v>
      </c>
      <c r="AL570">
        <v>0</v>
      </c>
      <c r="AM570">
        <v>1</v>
      </c>
      <c r="AN570">
        <v>0</v>
      </c>
      <c r="AO570" t="s">
        <v>68</v>
      </c>
      <c r="AP570" t="s">
        <v>68</v>
      </c>
      <c r="AQ570">
        <v>0</v>
      </c>
      <c r="AR570" t="s">
        <v>69</v>
      </c>
      <c r="AS570">
        <v>42</v>
      </c>
      <c r="AT570">
        <v>0</v>
      </c>
      <c r="AU570">
        <v>2.5399999999999999E-2</v>
      </c>
      <c r="AV570">
        <v>-8.3700000000000007E-3</v>
      </c>
      <c r="AW570">
        <v>0.12263</v>
      </c>
      <c r="AX570">
        <v>-4.1450000000000001E-2</v>
      </c>
      <c r="AY570">
        <v>0</v>
      </c>
      <c r="AZ570">
        <v>0</v>
      </c>
      <c r="BA570">
        <v>0</v>
      </c>
      <c r="BB570">
        <v>1</v>
      </c>
      <c r="BC570" t="s">
        <v>70</v>
      </c>
      <c r="BD570">
        <v>-0.627</v>
      </c>
      <c r="BE570">
        <v>-0.627</v>
      </c>
      <c r="BF570" t="s">
        <v>71</v>
      </c>
      <c r="BG570">
        <v>9.0439276485788103E-2</v>
      </c>
      <c r="BI570">
        <v>42</v>
      </c>
      <c r="BJ570">
        <v>0</v>
      </c>
      <c r="BK570">
        <v>9.0439276485788103E-2</v>
      </c>
    </row>
    <row r="571" spans="1:63">
      <c r="A571">
        <v>3152</v>
      </c>
      <c r="B571" t="s">
        <v>3146</v>
      </c>
      <c r="D571" t="s">
        <v>66</v>
      </c>
      <c r="E571">
        <v>3180468</v>
      </c>
      <c r="F571">
        <v>3181994</v>
      </c>
      <c r="G571" t="s">
        <v>74</v>
      </c>
      <c r="H571">
        <v>509</v>
      </c>
      <c r="I571" t="s">
        <v>106</v>
      </c>
      <c r="J571">
        <v>4</v>
      </c>
      <c r="K571" t="str">
        <f>HYPERLINK("Gene3152-zp_tree_all.dnd", "Gene3152-tree")</f>
        <v>Gene3152-tree</v>
      </c>
      <c r="L571">
        <v>1</v>
      </c>
      <c r="M571">
        <v>3</v>
      </c>
      <c r="N571">
        <v>1</v>
      </c>
      <c r="O571">
        <v>3</v>
      </c>
      <c r="P571">
        <v>0.75</v>
      </c>
      <c r="Q571" t="s">
        <v>65</v>
      </c>
      <c r="R571" t="s">
        <v>86</v>
      </c>
      <c r="S571" t="s">
        <v>66</v>
      </c>
      <c r="T571" t="s">
        <v>66</v>
      </c>
      <c r="U571">
        <v>0</v>
      </c>
      <c r="V571">
        <v>0</v>
      </c>
      <c r="W571">
        <v>8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8</v>
      </c>
      <c r="AH571">
        <v>0</v>
      </c>
      <c r="AI571">
        <v>4</v>
      </c>
      <c r="AJ571">
        <v>1</v>
      </c>
      <c r="AK571">
        <v>93</v>
      </c>
      <c r="AL571">
        <v>8</v>
      </c>
      <c r="AM571">
        <v>7</v>
      </c>
      <c r="AN571">
        <v>0</v>
      </c>
      <c r="AO571" t="s">
        <v>3148</v>
      </c>
      <c r="AP571" t="s">
        <v>68</v>
      </c>
      <c r="AQ571">
        <v>1.167</v>
      </c>
      <c r="AR571" t="s">
        <v>69</v>
      </c>
      <c r="AS571">
        <v>100</v>
      </c>
      <c r="AT571">
        <v>8</v>
      </c>
      <c r="AU571">
        <v>3.397E-2</v>
      </c>
      <c r="AV571">
        <v>-7.3200000000000001E-3</v>
      </c>
      <c r="AW571">
        <v>0.15842999999999999</v>
      </c>
      <c r="AX571">
        <v>-3.7019999999999997E-2</v>
      </c>
      <c r="AY571">
        <v>3.4099999999999998E-3</v>
      </c>
      <c r="AZ571">
        <v>-7.5000000000000002E-4</v>
      </c>
      <c r="BA571">
        <v>2.1520000000000001E-2</v>
      </c>
      <c r="BB571">
        <v>1</v>
      </c>
      <c r="BC571" t="s">
        <v>70</v>
      </c>
      <c r="BD571">
        <v>-0.246</v>
      </c>
      <c r="BE571">
        <v>-0.443</v>
      </c>
      <c r="BF571" t="s">
        <v>71</v>
      </c>
      <c r="BG571">
        <v>0.114754098360655</v>
      </c>
      <c r="BI571">
        <v>108</v>
      </c>
      <c r="BJ571">
        <v>2.1520000000000001E-2</v>
      </c>
      <c r="BK571">
        <v>0.114754098360655</v>
      </c>
    </row>
    <row r="572" spans="1:63">
      <c r="A572">
        <v>3162</v>
      </c>
      <c r="B572" t="s">
        <v>3152</v>
      </c>
      <c r="D572" t="s">
        <v>66</v>
      </c>
      <c r="E572">
        <v>3190465</v>
      </c>
      <c r="F572">
        <v>3190725</v>
      </c>
      <c r="G572" t="s">
        <v>74</v>
      </c>
      <c r="H572">
        <v>87</v>
      </c>
      <c r="I572" t="s">
        <v>63</v>
      </c>
      <c r="J572">
        <v>5</v>
      </c>
      <c r="K572" t="str">
        <f>HYPERLINK("Gene3162-zp_tree_all.dnd", "Gene3162-tree")</f>
        <v>Gene3162-tree</v>
      </c>
      <c r="L572">
        <v>5</v>
      </c>
      <c r="M572">
        <v>0</v>
      </c>
      <c r="N572">
        <v>5</v>
      </c>
      <c r="O572">
        <v>0</v>
      </c>
      <c r="P572">
        <v>0</v>
      </c>
      <c r="Q572" t="s">
        <v>96</v>
      </c>
      <c r="R572" t="s">
        <v>66</v>
      </c>
      <c r="S572" t="s">
        <v>66</v>
      </c>
      <c r="T572" t="s">
        <v>66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4</v>
      </c>
      <c r="AJ572">
        <v>2</v>
      </c>
      <c r="AK572">
        <v>7</v>
      </c>
      <c r="AL572">
        <v>0</v>
      </c>
      <c r="AM572">
        <v>8</v>
      </c>
      <c r="AN572">
        <v>0</v>
      </c>
      <c r="AO572" t="s">
        <v>68</v>
      </c>
      <c r="AP572" t="s">
        <v>68</v>
      </c>
      <c r="AQ572">
        <v>0</v>
      </c>
      <c r="AR572" t="s">
        <v>69</v>
      </c>
      <c r="AS572">
        <v>15</v>
      </c>
      <c r="AT572">
        <v>0</v>
      </c>
      <c r="AU572">
        <v>2.759E-2</v>
      </c>
      <c r="AV572">
        <v>-3.8999999999999998E-3</v>
      </c>
      <c r="AW572">
        <v>0.13361000000000001</v>
      </c>
      <c r="AX572">
        <v>-2.001E-2</v>
      </c>
      <c r="AY572">
        <v>0</v>
      </c>
      <c r="AZ572">
        <v>0</v>
      </c>
      <c r="BA572">
        <v>0</v>
      </c>
      <c r="BB572">
        <v>1</v>
      </c>
      <c r="BC572" t="s">
        <v>70</v>
      </c>
      <c r="BD572">
        <v>0.52100000000000002</v>
      </c>
      <c r="BE572">
        <v>0.52100000000000002</v>
      </c>
      <c r="BF572" t="s">
        <v>71</v>
      </c>
      <c r="BG572">
        <v>0.11111111111111099</v>
      </c>
      <c r="BI572">
        <v>15</v>
      </c>
      <c r="BJ572">
        <v>0</v>
      </c>
      <c r="BK572">
        <v>0.11111111111111099</v>
      </c>
    </row>
    <row r="573" spans="1:63">
      <c r="A573">
        <v>3183</v>
      </c>
      <c r="B573" t="s">
        <v>3154</v>
      </c>
      <c r="D573" t="s">
        <v>66</v>
      </c>
      <c r="E573">
        <v>3217499</v>
      </c>
      <c r="F573">
        <v>3218173</v>
      </c>
      <c r="G573" t="s">
        <v>3156</v>
      </c>
      <c r="H573">
        <v>225</v>
      </c>
      <c r="I573" t="s">
        <v>63</v>
      </c>
      <c r="J573">
        <v>5</v>
      </c>
      <c r="K573" t="str">
        <f>HYPERLINK("Gene3183-zp_tree_all.dnd", "Gene3183-tree")</f>
        <v>Gene3183-tree</v>
      </c>
      <c r="L573">
        <v>4</v>
      </c>
      <c r="M573">
        <v>1</v>
      </c>
      <c r="N573">
        <v>4</v>
      </c>
      <c r="O573">
        <v>1</v>
      </c>
      <c r="P573">
        <v>0.2</v>
      </c>
      <c r="Q573" t="s">
        <v>64</v>
      </c>
      <c r="R573" t="s">
        <v>65</v>
      </c>
      <c r="S573" t="s">
        <v>66</v>
      </c>
      <c r="T573" t="s">
        <v>66</v>
      </c>
      <c r="U573">
        <v>0</v>
      </c>
      <c r="V573">
        <v>0</v>
      </c>
      <c r="W573">
        <v>3</v>
      </c>
      <c r="X573">
        <v>0</v>
      </c>
      <c r="Y573">
        <v>0</v>
      </c>
      <c r="Z573">
        <v>0</v>
      </c>
      <c r="AA573">
        <v>0</v>
      </c>
      <c r="AB573">
        <v>2</v>
      </c>
      <c r="AC573">
        <v>0</v>
      </c>
      <c r="AD573">
        <v>0</v>
      </c>
      <c r="AE573">
        <v>0</v>
      </c>
      <c r="AF573">
        <v>0</v>
      </c>
      <c r="AG573">
        <v>1</v>
      </c>
      <c r="AH573">
        <v>0</v>
      </c>
      <c r="AI573">
        <v>4</v>
      </c>
      <c r="AJ573">
        <v>2</v>
      </c>
      <c r="AK573">
        <v>11</v>
      </c>
      <c r="AL573">
        <v>1</v>
      </c>
      <c r="AM573">
        <v>17</v>
      </c>
      <c r="AN573">
        <v>2</v>
      </c>
      <c r="AO573" t="s">
        <v>3157</v>
      </c>
      <c r="AP573" t="s">
        <v>3158</v>
      </c>
      <c r="AQ573">
        <v>0.113</v>
      </c>
      <c r="AR573" t="s">
        <v>69</v>
      </c>
      <c r="AS573">
        <v>28</v>
      </c>
      <c r="AT573">
        <v>3</v>
      </c>
      <c r="AU573">
        <v>2.2960000000000001E-2</v>
      </c>
      <c r="AV573">
        <v>-4.1000000000000003E-3</v>
      </c>
      <c r="AW573">
        <v>8.9279999999999998E-2</v>
      </c>
      <c r="AX573">
        <v>-1.6320000000000001E-2</v>
      </c>
      <c r="AY573">
        <v>3.1700000000000001E-3</v>
      </c>
      <c r="AZ573">
        <v>-5.5000000000000003E-4</v>
      </c>
      <c r="BA573">
        <v>3.5479999999999998E-2</v>
      </c>
      <c r="BB573">
        <v>1</v>
      </c>
      <c r="BC573" t="s">
        <v>70</v>
      </c>
      <c r="BD573">
        <v>0.84799999999999998</v>
      </c>
      <c r="BE573">
        <v>0.57999999999999996</v>
      </c>
      <c r="BF573" t="s">
        <v>71</v>
      </c>
      <c r="BG573">
        <v>8.0906148867313898E-2</v>
      </c>
      <c r="BI573">
        <v>31</v>
      </c>
      <c r="BJ573">
        <v>3.5479999999999998E-2</v>
      </c>
      <c r="BK573">
        <v>8.0906148867313898E-2</v>
      </c>
    </row>
    <row r="574" spans="1:63">
      <c r="A574">
        <v>3189</v>
      </c>
      <c r="B574" t="s">
        <v>3163</v>
      </c>
      <c r="D574" t="s">
        <v>66</v>
      </c>
      <c r="E574">
        <v>3220734</v>
      </c>
      <c r="F574">
        <v>3222083</v>
      </c>
      <c r="G574" t="s">
        <v>3165</v>
      </c>
      <c r="H574">
        <v>450</v>
      </c>
      <c r="I574" t="s">
        <v>85</v>
      </c>
      <c r="J574">
        <v>4</v>
      </c>
      <c r="K574" t="str">
        <f>HYPERLINK("Gene3189-zp_tree_all.dnd", "Gene3189-tree")</f>
        <v>Gene3189-tree</v>
      </c>
      <c r="L574">
        <v>3</v>
      </c>
      <c r="M574">
        <v>1</v>
      </c>
      <c r="N574">
        <v>3</v>
      </c>
      <c r="O574">
        <v>1</v>
      </c>
      <c r="P574">
        <v>0.25</v>
      </c>
      <c r="Q574" t="s">
        <v>86</v>
      </c>
      <c r="R574" t="s">
        <v>65</v>
      </c>
      <c r="S574" t="s">
        <v>66</v>
      </c>
      <c r="T574" t="s">
        <v>66</v>
      </c>
      <c r="U574">
        <v>0</v>
      </c>
      <c r="V574">
        <v>0</v>
      </c>
      <c r="W574">
        <v>2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2</v>
      </c>
      <c r="AH574">
        <v>0</v>
      </c>
      <c r="AI574">
        <v>4</v>
      </c>
      <c r="AJ574">
        <v>1</v>
      </c>
      <c r="AK574">
        <v>68</v>
      </c>
      <c r="AL574">
        <v>2</v>
      </c>
      <c r="AM574">
        <v>7</v>
      </c>
      <c r="AN574">
        <v>0</v>
      </c>
      <c r="AO574" t="s">
        <v>3166</v>
      </c>
      <c r="AP574" t="s">
        <v>68</v>
      </c>
      <c r="AQ574">
        <v>0.42599999999999999</v>
      </c>
      <c r="AR574" t="s">
        <v>69</v>
      </c>
      <c r="AS574">
        <v>75</v>
      </c>
      <c r="AT574">
        <v>2</v>
      </c>
      <c r="AU574">
        <v>2.8639999999999999E-2</v>
      </c>
      <c r="AV574">
        <v>-7.7099999999999998E-3</v>
      </c>
      <c r="AW574">
        <v>0.13880000000000001</v>
      </c>
      <c r="AX574">
        <v>-3.884E-2</v>
      </c>
      <c r="AY574">
        <v>9.6000000000000002E-4</v>
      </c>
      <c r="AZ574">
        <v>-3.8999999999999999E-4</v>
      </c>
      <c r="BA574">
        <v>6.9300000000000004E-3</v>
      </c>
      <c r="BB574">
        <v>1</v>
      </c>
      <c r="BC574" t="s">
        <v>70</v>
      </c>
      <c r="BD574">
        <v>-0.30199999999999999</v>
      </c>
      <c r="BE574">
        <v>-0.69499999999999995</v>
      </c>
      <c r="BF574" t="s">
        <v>71</v>
      </c>
      <c r="BG574">
        <v>4.40677966101694E-2</v>
      </c>
      <c r="BI574">
        <v>77</v>
      </c>
      <c r="BJ574">
        <v>6.9300000000000004E-3</v>
      </c>
      <c r="BK574">
        <v>4.40677966101694E-2</v>
      </c>
    </row>
    <row r="575" spans="1:63">
      <c r="A575">
        <v>3193</v>
      </c>
      <c r="B575" t="s">
        <v>3169</v>
      </c>
      <c r="D575" t="s">
        <v>66</v>
      </c>
      <c r="E575">
        <v>3225181</v>
      </c>
      <c r="F575">
        <v>3225570</v>
      </c>
      <c r="G575" t="s">
        <v>3171</v>
      </c>
      <c r="H575">
        <v>130</v>
      </c>
      <c r="I575" t="s">
        <v>63</v>
      </c>
      <c r="J575">
        <v>5</v>
      </c>
      <c r="K575" t="str">
        <f>HYPERLINK("Gene3193-zp_tree_all.dnd", "Gene3193-tree")</f>
        <v>Gene3193-tree</v>
      </c>
      <c r="L575">
        <v>3</v>
      </c>
      <c r="M575">
        <v>2</v>
      </c>
      <c r="N575">
        <v>3</v>
      </c>
      <c r="O575">
        <v>2</v>
      </c>
      <c r="P575">
        <v>0.4</v>
      </c>
      <c r="Q575" t="s">
        <v>86</v>
      </c>
      <c r="R575" t="s">
        <v>124</v>
      </c>
      <c r="S575" t="s">
        <v>66</v>
      </c>
      <c r="T575" t="s">
        <v>66</v>
      </c>
      <c r="U575">
        <v>0</v>
      </c>
      <c r="V575">
        <v>0</v>
      </c>
      <c r="W575">
        <v>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2</v>
      </c>
      <c r="AH575">
        <v>0</v>
      </c>
      <c r="AI575">
        <v>2</v>
      </c>
      <c r="AJ575">
        <v>2</v>
      </c>
      <c r="AK575">
        <v>2</v>
      </c>
      <c r="AL575">
        <v>2</v>
      </c>
      <c r="AM575">
        <v>2</v>
      </c>
      <c r="AN575">
        <v>0</v>
      </c>
      <c r="AO575" t="s">
        <v>3172</v>
      </c>
      <c r="AP575" t="s">
        <v>68</v>
      </c>
      <c r="AQ575">
        <v>0</v>
      </c>
      <c r="AR575" t="s">
        <v>69</v>
      </c>
      <c r="AS575">
        <v>4</v>
      </c>
      <c r="AT575">
        <v>2</v>
      </c>
      <c r="AU575">
        <v>7.1799999999999998E-3</v>
      </c>
      <c r="AV575">
        <v>-1.1900000000000001E-3</v>
      </c>
      <c r="AW575">
        <v>2.3910000000000001E-2</v>
      </c>
      <c r="AX575">
        <v>-3.8400000000000001E-3</v>
      </c>
      <c r="AY575">
        <v>2.63E-3</v>
      </c>
      <c r="AZ575">
        <v>-6.3000000000000003E-4</v>
      </c>
      <c r="BA575">
        <v>0.11012</v>
      </c>
      <c r="BB575">
        <v>1</v>
      </c>
      <c r="BC575" t="s">
        <v>70</v>
      </c>
      <c r="BD575">
        <v>-0.191</v>
      </c>
      <c r="BE575">
        <v>-0.191</v>
      </c>
      <c r="BF575" t="s">
        <v>71</v>
      </c>
      <c r="BG575">
        <v>8.9743589743589702E-2</v>
      </c>
      <c r="BI575">
        <v>6</v>
      </c>
      <c r="BJ575">
        <v>0.11012</v>
      </c>
      <c r="BK575">
        <v>8.9743589743589702E-2</v>
      </c>
    </row>
    <row r="576" spans="1:63">
      <c r="A576">
        <v>3194</v>
      </c>
      <c r="B576" t="s">
        <v>3173</v>
      </c>
      <c r="D576" t="s">
        <v>66</v>
      </c>
      <c r="E576">
        <v>3225775</v>
      </c>
      <c r="F576">
        <v>3226932</v>
      </c>
      <c r="G576" t="s">
        <v>3175</v>
      </c>
      <c r="H576">
        <v>386</v>
      </c>
      <c r="I576" t="s">
        <v>85</v>
      </c>
      <c r="J576">
        <v>4</v>
      </c>
      <c r="K576" t="str">
        <f>HYPERLINK("Gene3194-zp_tree_all.dnd", "Gene3194-tree")</f>
        <v>Gene3194-tree</v>
      </c>
      <c r="L576">
        <v>2</v>
      </c>
      <c r="M576">
        <v>2</v>
      </c>
      <c r="N576">
        <v>2</v>
      </c>
      <c r="O576">
        <v>2</v>
      </c>
      <c r="P576">
        <v>0.5</v>
      </c>
      <c r="Q576" t="s">
        <v>124</v>
      </c>
      <c r="R576" t="s">
        <v>124</v>
      </c>
      <c r="S576" t="s">
        <v>66</v>
      </c>
      <c r="T576" t="s">
        <v>66</v>
      </c>
      <c r="U576">
        <v>0</v>
      </c>
      <c r="V576">
        <v>0</v>
      </c>
      <c r="W576">
        <v>5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5</v>
      </c>
      <c r="AH576">
        <v>0</v>
      </c>
      <c r="AI576">
        <v>4</v>
      </c>
      <c r="AJ576">
        <v>1</v>
      </c>
      <c r="AK576">
        <v>67</v>
      </c>
      <c r="AL576">
        <v>5</v>
      </c>
      <c r="AM576">
        <v>5</v>
      </c>
      <c r="AN576">
        <v>0</v>
      </c>
      <c r="AO576" t="s">
        <v>3176</v>
      </c>
      <c r="AP576" t="s">
        <v>68</v>
      </c>
      <c r="AQ576">
        <v>0.67800000000000005</v>
      </c>
      <c r="AR576" t="s">
        <v>69</v>
      </c>
      <c r="AS576">
        <v>72</v>
      </c>
      <c r="AT576">
        <v>5</v>
      </c>
      <c r="AU576">
        <v>3.2239999999999998E-2</v>
      </c>
      <c r="AV576">
        <v>-7.8700000000000003E-3</v>
      </c>
      <c r="AW576">
        <v>0.14498</v>
      </c>
      <c r="AX576">
        <v>-3.7080000000000002E-2</v>
      </c>
      <c r="AY576">
        <v>2.8400000000000001E-3</v>
      </c>
      <c r="AZ576">
        <v>-8.8000000000000003E-4</v>
      </c>
      <c r="BA576">
        <v>1.9560000000000001E-2</v>
      </c>
      <c r="BB576">
        <v>1</v>
      </c>
      <c r="BC576" t="s">
        <v>70</v>
      </c>
      <c r="BD576">
        <v>-0.376</v>
      </c>
      <c r="BE576">
        <v>-0.64500000000000002</v>
      </c>
      <c r="BF576" t="s">
        <v>71</v>
      </c>
      <c r="BG576">
        <v>9.6188747731397406E-2</v>
      </c>
      <c r="BI576">
        <v>77</v>
      </c>
      <c r="BJ576">
        <v>1.9560000000000001E-2</v>
      </c>
      <c r="BK576">
        <v>9.6188747731397406E-2</v>
      </c>
    </row>
    <row r="577" spans="1:63">
      <c r="A577">
        <v>3195</v>
      </c>
      <c r="B577" t="s">
        <v>3177</v>
      </c>
      <c r="D577" t="s">
        <v>66</v>
      </c>
      <c r="E577">
        <v>3226936</v>
      </c>
      <c r="F577">
        <v>3227433</v>
      </c>
      <c r="G577" t="s">
        <v>692</v>
      </c>
      <c r="H577">
        <v>166</v>
      </c>
      <c r="I577" t="s">
        <v>63</v>
      </c>
      <c r="J577">
        <v>5</v>
      </c>
      <c r="K577" t="str">
        <f>HYPERLINK("Gene3195-zp_tree_all.dnd", "Gene3195-tree")</f>
        <v>Gene3195-tree</v>
      </c>
      <c r="L577">
        <v>5</v>
      </c>
      <c r="M577">
        <v>0</v>
      </c>
      <c r="N577">
        <v>5</v>
      </c>
      <c r="O577">
        <v>0</v>
      </c>
      <c r="P577">
        <v>0</v>
      </c>
      <c r="Q577" t="s">
        <v>96</v>
      </c>
      <c r="R577" t="s">
        <v>66</v>
      </c>
      <c r="S577" t="s">
        <v>66</v>
      </c>
      <c r="T577" t="s">
        <v>66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5</v>
      </c>
      <c r="AJ577">
        <v>1</v>
      </c>
      <c r="AK577">
        <v>12</v>
      </c>
      <c r="AL577">
        <v>0</v>
      </c>
      <c r="AM577">
        <v>13</v>
      </c>
      <c r="AN577">
        <v>1</v>
      </c>
      <c r="AO577" t="s">
        <v>68</v>
      </c>
      <c r="AP577" t="s">
        <v>3179</v>
      </c>
      <c r="AQ577">
        <v>0</v>
      </c>
      <c r="AR577" t="s">
        <v>69</v>
      </c>
      <c r="AS577">
        <v>25</v>
      </c>
      <c r="AT577">
        <v>1</v>
      </c>
      <c r="AU577">
        <v>2.6100000000000002E-2</v>
      </c>
      <c r="AV577">
        <v>-4.3600000000000002E-3</v>
      </c>
      <c r="AW577">
        <v>0.12105</v>
      </c>
      <c r="AX577">
        <v>-2.0619999999999999E-2</v>
      </c>
      <c r="AY577">
        <v>1.56E-3</v>
      </c>
      <c r="AZ577">
        <v>-3.6999999999999999E-4</v>
      </c>
      <c r="BA577">
        <v>1.291E-2</v>
      </c>
      <c r="BB577">
        <v>1</v>
      </c>
      <c r="BC577" t="s">
        <v>70</v>
      </c>
      <c r="BD577">
        <v>0.62</v>
      </c>
      <c r="BE577">
        <v>0.372</v>
      </c>
      <c r="BF577" t="s">
        <v>71</v>
      </c>
      <c r="BG577">
        <v>0.16279069767441801</v>
      </c>
      <c r="BI577">
        <v>26</v>
      </c>
      <c r="BJ577">
        <v>1.291E-2</v>
      </c>
      <c r="BK577">
        <v>0.16279069767441801</v>
      </c>
    </row>
    <row r="578" spans="1:63">
      <c r="A578">
        <v>3197</v>
      </c>
      <c r="B578" t="s">
        <v>3180</v>
      </c>
      <c r="D578" t="s">
        <v>66</v>
      </c>
      <c r="E578">
        <v>3228434</v>
      </c>
      <c r="F578">
        <v>3228691</v>
      </c>
      <c r="G578" t="s">
        <v>74</v>
      </c>
      <c r="H578">
        <v>86</v>
      </c>
      <c r="I578" t="s">
        <v>85</v>
      </c>
      <c r="J578">
        <v>4</v>
      </c>
      <c r="K578" t="str">
        <f>HYPERLINK("Gene3197-zp_tree_all.dnd", "Gene3197-tree")</f>
        <v>Gene3197-tree</v>
      </c>
      <c r="L578">
        <v>1</v>
      </c>
      <c r="M578">
        <v>3</v>
      </c>
      <c r="N578">
        <v>1</v>
      </c>
      <c r="O578">
        <v>3</v>
      </c>
      <c r="P578">
        <v>0.75</v>
      </c>
      <c r="Q578" t="s">
        <v>65</v>
      </c>
      <c r="R578" t="s">
        <v>86</v>
      </c>
      <c r="S578" t="s">
        <v>66</v>
      </c>
      <c r="T578" t="s">
        <v>66</v>
      </c>
      <c r="U578">
        <v>0</v>
      </c>
      <c r="V578">
        <v>0</v>
      </c>
      <c r="W578">
        <v>7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7</v>
      </c>
      <c r="AH578">
        <v>0</v>
      </c>
      <c r="AI578">
        <v>3</v>
      </c>
      <c r="AJ578">
        <v>1</v>
      </c>
      <c r="AK578">
        <v>7</v>
      </c>
      <c r="AL578">
        <v>6</v>
      </c>
      <c r="AM578">
        <v>0</v>
      </c>
      <c r="AN578">
        <v>1</v>
      </c>
      <c r="AO578" t="s">
        <v>3182</v>
      </c>
      <c r="AP578" t="s">
        <v>68</v>
      </c>
      <c r="AQ578">
        <v>1.335</v>
      </c>
      <c r="AR578" t="s">
        <v>69</v>
      </c>
      <c r="AS578">
        <v>7</v>
      </c>
      <c r="AT578">
        <v>7</v>
      </c>
      <c r="AU578">
        <v>2.7779999999999999E-2</v>
      </c>
      <c r="AV578">
        <v>-5.4400000000000004E-3</v>
      </c>
      <c r="AW578">
        <v>7.109E-2</v>
      </c>
      <c r="AX578">
        <v>-2.0119999999999999E-2</v>
      </c>
      <c r="AY578">
        <v>1.813E-2</v>
      </c>
      <c r="AZ578">
        <v>-3.6700000000000001E-3</v>
      </c>
      <c r="BA578">
        <v>0.25509999999999999</v>
      </c>
      <c r="BB578">
        <v>0.98</v>
      </c>
      <c r="BC578" t="s">
        <v>70</v>
      </c>
      <c r="BD578">
        <v>-0.624</v>
      </c>
      <c r="BE578">
        <v>-0.624</v>
      </c>
      <c r="BF578" t="s">
        <v>71</v>
      </c>
      <c r="BG578">
        <v>0.109243697478991</v>
      </c>
      <c r="BI578">
        <v>14</v>
      </c>
      <c r="BJ578">
        <v>0.25509999999999999</v>
      </c>
      <c r="BK578">
        <v>0.109243697478991</v>
      </c>
    </row>
    <row r="579" spans="1:63">
      <c r="A579">
        <v>3205</v>
      </c>
      <c r="B579" t="s">
        <v>3196</v>
      </c>
      <c r="D579" t="s">
        <v>66</v>
      </c>
      <c r="E579">
        <v>3236425</v>
      </c>
      <c r="F579">
        <v>3236979</v>
      </c>
      <c r="G579" t="s">
        <v>74</v>
      </c>
      <c r="H579">
        <v>185</v>
      </c>
      <c r="I579" t="s">
        <v>63</v>
      </c>
      <c r="J579">
        <v>5</v>
      </c>
      <c r="K579" t="str">
        <f>HYPERLINK("Gene3205-zp_tree_all.dnd", "Gene3205-tree")</f>
        <v>Gene3205-tree</v>
      </c>
      <c r="L579">
        <v>4</v>
      </c>
      <c r="M579">
        <v>1</v>
      </c>
      <c r="N579">
        <v>4</v>
      </c>
      <c r="O579">
        <v>1</v>
      </c>
      <c r="P579">
        <v>0.2</v>
      </c>
      <c r="Q579" t="s">
        <v>64</v>
      </c>
      <c r="R579" t="s">
        <v>65</v>
      </c>
      <c r="S579" t="s">
        <v>66</v>
      </c>
      <c r="T579" t="s">
        <v>66</v>
      </c>
      <c r="U579">
        <v>0</v>
      </c>
      <c r="V579">
        <v>0</v>
      </c>
      <c r="W579">
        <v>3</v>
      </c>
      <c r="X579">
        <v>0</v>
      </c>
      <c r="Y579">
        <v>0</v>
      </c>
      <c r="Z579">
        <v>0</v>
      </c>
      <c r="AA579">
        <v>0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1</v>
      </c>
      <c r="AH579">
        <v>0</v>
      </c>
      <c r="AI579">
        <v>5</v>
      </c>
      <c r="AJ579">
        <v>2</v>
      </c>
      <c r="AK579">
        <v>6</v>
      </c>
      <c r="AL579">
        <v>1</v>
      </c>
      <c r="AM579">
        <v>13</v>
      </c>
      <c r="AN579">
        <v>2</v>
      </c>
      <c r="AO579" t="s">
        <v>3198</v>
      </c>
      <c r="AP579" t="s">
        <v>3199</v>
      </c>
      <c r="AQ579">
        <v>5.3999999999999999E-2</v>
      </c>
      <c r="AR579" t="s">
        <v>69</v>
      </c>
      <c r="AS579">
        <v>19</v>
      </c>
      <c r="AT579">
        <v>3</v>
      </c>
      <c r="AU579">
        <v>2.1260000000000001E-2</v>
      </c>
      <c r="AV579">
        <v>-3.9899999999999996E-3</v>
      </c>
      <c r="AW579">
        <v>8.0199999999999994E-2</v>
      </c>
      <c r="AX579">
        <v>-1.516E-2</v>
      </c>
      <c r="AY579">
        <v>3.8400000000000001E-3</v>
      </c>
      <c r="AZ579">
        <v>-9.1E-4</v>
      </c>
      <c r="BA579">
        <v>4.7870000000000003E-2</v>
      </c>
      <c r="BB579">
        <v>1</v>
      </c>
      <c r="BC579" t="s">
        <v>70</v>
      </c>
      <c r="BD579">
        <v>0.871</v>
      </c>
      <c r="BE579">
        <v>0.871</v>
      </c>
      <c r="BF579" t="s">
        <v>71</v>
      </c>
      <c r="BG579">
        <v>6.0465116279069697E-2</v>
      </c>
      <c r="BI579">
        <v>22</v>
      </c>
      <c r="BJ579">
        <v>4.7870000000000003E-2</v>
      </c>
      <c r="BK579">
        <v>6.0465116279069697E-2</v>
      </c>
    </row>
    <row r="580" spans="1:63">
      <c r="A580">
        <v>3222</v>
      </c>
      <c r="B580" t="s">
        <v>3213</v>
      </c>
      <c r="D580" t="s">
        <v>66</v>
      </c>
      <c r="E580">
        <v>3252807</v>
      </c>
      <c r="F580">
        <v>3253448</v>
      </c>
      <c r="G580" t="s">
        <v>3215</v>
      </c>
      <c r="H580">
        <v>214</v>
      </c>
      <c r="I580" t="s">
        <v>63</v>
      </c>
      <c r="J580">
        <v>5</v>
      </c>
      <c r="K580" t="str">
        <f>HYPERLINK("Gene3222-zp_tree_all.dnd", "Gene3222-tree")</f>
        <v>Gene3222-tree</v>
      </c>
      <c r="L580">
        <v>5</v>
      </c>
      <c r="M580">
        <v>0</v>
      </c>
      <c r="N580">
        <v>5</v>
      </c>
      <c r="O580">
        <v>0</v>
      </c>
      <c r="P580">
        <v>0</v>
      </c>
      <c r="Q580" t="s">
        <v>96</v>
      </c>
      <c r="R580" t="s">
        <v>66</v>
      </c>
      <c r="S580" t="s">
        <v>66</v>
      </c>
      <c r="T580" t="s">
        <v>66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4</v>
      </c>
      <c r="AJ580">
        <v>2</v>
      </c>
      <c r="AK580">
        <v>11</v>
      </c>
      <c r="AL580">
        <v>0</v>
      </c>
      <c r="AM580">
        <v>9</v>
      </c>
      <c r="AN580">
        <v>0</v>
      </c>
      <c r="AO580" t="s">
        <v>68</v>
      </c>
      <c r="AP580" t="s">
        <v>68</v>
      </c>
      <c r="AQ580">
        <v>0</v>
      </c>
      <c r="AR580" t="s">
        <v>69</v>
      </c>
      <c r="AS580">
        <v>20</v>
      </c>
      <c r="AT580">
        <v>0</v>
      </c>
      <c r="AU580">
        <v>1.5339999999999999E-2</v>
      </c>
      <c r="AV580">
        <v>-1.98E-3</v>
      </c>
      <c r="AW580">
        <v>7.3359999999999995E-2</v>
      </c>
      <c r="AX580">
        <v>-9.7199999999999995E-3</v>
      </c>
      <c r="AY580">
        <v>0</v>
      </c>
      <c r="AZ580">
        <v>0</v>
      </c>
      <c r="BA580">
        <v>0</v>
      </c>
      <c r="BB580">
        <v>1</v>
      </c>
      <c r="BC580" t="s">
        <v>70</v>
      </c>
      <c r="BD580">
        <v>0.154</v>
      </c>
      <c r="BE580">
        <v>0.154</v>
      </c>
      <c r="BF580" t="s">
        <v>71</v>
      </c>
      <c r="BG580">
        <v>5.9701492537313397E-2</v>
      </c>
      <c r="BI580">
        <v>20</v>
      </c>
      <c r="BJ580">
        <v>0</v>
      </c>
      <c r="BK580">
        <v>5.9701492537313397E-2</v>
      </c>
    </row>
    <row r="581" spans="1:63">
      <c r="A581">
        <v>3229</v>
      </c>
      <c r="B581" t="s">
        <v>3219</v>
      </c>
      <c r="D581" t="s">
        <v>66</v>
      </c>
      <c r="E581">
        <v>3259406</v>
      </c>
      <c r="F581">
        <v>3260875</v>
      </c>
      <c r="G581" t="s">
        <v>3221</v>
      </c>
      <c r="H581">
        <v>490</v>
      </c>
      <c r="I581" t="s">
        <v>85</v>
      </c>
      <c r="J581">
        <v>4</v>
      </c>
      <c r="K581" t="str">
        <f>HYPERLINK("Gene3229-zp_tree_all.dnd", "Gene3229-tree")</f>
        <v>Gene3229-tree</v>
      </c>
      <c r="L581">
        <v>3</v>
      </c>
      <c r="M581">
        <v>1</v>
      </c>
      <c r="N581">
        <v>3</v>
      </c>
      <c r="O581">
        <v>1</v>
      </c>
      <c r="P581">
        <v>0.25</v>
      </c>
      <c r="Q581" t="s">
        <v>86</v>
      </c>
      <c r="R581" t="s">
        <v>65</v>
      </c>
      <c r="S581" t="s">
        <v>66</v>
      </c>
      <c r="T581" t="s">
        <v>66</v>
      </c>
      <c r="U581">
        <v>0</v>
      </c>
      <c r="V581">
        <v>0</v>
      </c>
      <c r="W581">
        <v>5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5</v>
      </c>
      <c r="AH581">
        <v>0</v>
      </c>
      <c r="AI581">
        <v>4</v>
      </c>
      <c r="AJ581">
        <v>1</v>
      </c>
      <c r="AK581">
        <v>83</v>
      </c>
      <c r="AL581">
        <v>5</v>
      </c>
      <c r="AM581">
        <v>3</v>
      </c>
      <c r="AN581">
        <v>0</v>
      </c>
      <c r="AO581" t="s">
        <v>3222</v>
      </c>
      <c r="AP581" t="s">
        <v>68</v>
      </c>
      <c r="AQ581">
        <v>0.43</v>
      </c>
      <c r="AR581" t="s">
        <v>69</v>
      </c>
      <c r="AS581">
        <v>86</v>
      </c>
      <c r="AT581">
        <v>5</v>
      </c>
      <c r="AU581">
        <v>3.0839999999999999E-2</v>
      </c>
      <c r="AV581">
        <v>-8.7500000000000008E-3</v>
      </c>
      <c r="AW581">
        <v>0.15390000000000001</v>
      </c>
      <c r="AX581">
        <v>-4.4830000000000002E-2</v>
      </c>
      <c r="AY581">
        <v>2.1900000000000001E-3</v>
      </c>
      <c r="AZ581">
        <v>-8.8999999999999995E-4</v>
      </c>
      <c r="BA581">
        <v>1.4200000000000001E-2</v>
      </c>
      <c r="BB581">
        <v>1</v>
      </c>
      <c r="BC581" t="s">
        <v>70</v>
      </c>
      <c r="BD581">
        <v>-0.69199999999999995</v>
      </c>
      <c r="BE581">
        <v>-0.79900000000000004</v>
      </c>
      <c r="BF581" t="s">
        <v>71</v>
      </c>
      <c r="BG581">
        <v>0.13173652694610699</v>
      </c>
      <c r="BI581">
        <v>91</v>
      </c>
      <c r="BJ581">
        <v>1.4200000000000001E-2</v>
      </c>
      <c r="BK581">
        <v>0.13173652694610699</v>
      </c>
    </row>
    <row r="582" spans="1:63">
      <c r="A582">
        <v>3230</v>
      </c>
      <c r="B582" t="s">
        <v>3223</v>
      </c>
      <c r="D582" t="s">
        <v>66</v>
      </c>
      <c r="E582">
        <v>3260894</v>
      </c>
      <c r="F582">
        <v>3261442</v>
      </c>
      <c r="G582" t="s">
        <v>3225</v>
      </c>
      <c r="H582">
        <v>183</v>
      </c>
      <c r="I582" t="s">
        <v>63</v>
      </c>
      <c r="J582">
        <v>5</v>
      </c>
      <c r="K582" t="str">
        <f>HYPERLINK("Gene3230-zp_tree_all.dnd", "Gene3230-tree")</f>
        <v>Gene3230-tree</v>
      </c>
      <c r="L582">
        <v>2</v>
      </c>
      <c r="M582">
        <v>3</v>
      </c>
      <c r="N582">
        <v>2</v>
      </c>
      <c r="O582">
        <v>3</v>
      </c>
      <c r="P582">
        <v>0.6</v>
      </c>
      <c r="Q582" t="s">
        <v>124</v>
      </c>
      <c r="R582" t="s">
        <v>86</v>
      </c>
      <c r="S582" t="s">
        <v>66</v>
      </c>
      <c r="T582" t="s">
        <v>66</v>
      </c>
      <c r="U582">
        <v>0</v>
      </c>
      <c r="V582">
        <v>0</v>
      </c>
      <c r="W582">
        <v>6</v>
      </c>
      <c r="X582">
        <v>0</v>
      </c>
      <c r="Y582">
        <v>0</v>
      </c>
      <c r="Z582">
        <v>0</v>
      </c>
      <c r="AA582">
        <v>0</v>
      </c>
      <c r="AB582">
        <v>3</v>
      </c>
      <c r="AC582">
        <v>0</v>
      </c>
      <c r="AD582">
        <v>0</v>
      </c>
      <c r="AE582">
        <v>0</v>
      </c>
      <c r="AF582">
        <v>0</v>
      </c>
      <c r="AG582">
        <v>3</v>
      </c>
      <c r="AH582">
        <v>0</v>
      </c>
      <c r="AI582">
        <v>4</v>
      </c>
      <c r="AJ582">
        <v>2</v>
      </c>
      <c r="AK582">
        <v>7</v>
      </c>
      <c r="AL582">
        <v>3</v>
      </c>
      <c r="AM582">
        <v>9</v>
      </c>
      <c r="AN582">
        <v>3</v>
      </c>
      <c r="AO582" t="s">
        <v>3226</v>
      </c>
      <c r="AP582" t="s">
        <v>3227</v>
      </c>
      <c r="AQ582">
        <v>0.246</v>
      </c>
      <c r="AR582" t="s">
        <v>69</v>
      </c>
      <c r="AS582">
        <v>16</v>
      </c>
      <c r="AT582">
        <v>6</v>
      </c>
      <c r="AU582">
        <v>1.9130000000000001E-2</v>
      </c>
      <c r="AV582">
        <v>-3.0200000000000001E-3</v>
      </c>
      <c r="AW582">
        <v>6.4610000000000001E-2</v>
      </c>
      <c r="AX582">
        <v>-1.093E-2</v>
      </c>
      <c r="AY582">
        <v>7.0800000000000004E-3</v>
      </c>
      <c r="AZ582">
        <v>-1.16E-3</v>
      </c>
      <c r="BA582">
        <v>0.10954999999999999</v>
      </c>
      <c r="BB582">
        <v>1</v>
      </c>
      <c r="BC582" t="s">
        <v>70</v>
      </c>
      <c r="BD582">
        <v>0.69299999999999995</v>
      </c>
      <c r="BE582">
        <v>0.308</v>
      </c>
      <c r="BF582" t="s">
        <v>71</v>
      </c>
      <c r="BG582">
        <v>0.122362869198312</v>
      </c>
      <c r="BI582">
        <v>22</v>
      </c>
      <c r="BJ582">
        <v>0.10954999999999999</v>
      </c>
      <c r="BK582">
        <v>0.122362869198312</v>
      </c>
    </row>
    <row r="583" spans="1:63">
      <c r="A583">
        <v>3236</v>
      </c>
      <c r="B583" t="s">
        <v>3228</v>
      </c>
      <c r="D583" t="s">
        <v>66</v>
      </c>
      <c r="E583">
        <v>3264268</v>
      </c>
      <c r="F583">
        <v>3264501</v>
      </c>
      <c r="G583" t="s">
        <v>74</v>
      </c>
      <c r="H583">
        <v>78</v>
      </c>
      <c r="I583" t="s">
        <v>63</v>
      </c>
      <c r="J583">
        <v>5</v>
      </c>
      <c r="K583" t="str">
        <f>HYPERLINK("Gene3236-zp_tree_all.dnd", "Gene3236-tree")</f>
        <v>Gene3236-tree</v>
      </c>
      <c r="L583">
        <v>4</v>
      </c>
      <c r="M583">
        <v>1</v>
      </c>
      <c r="N583">
        <v>4</v>
      </c>
      <c r="O583">
        <v>1</v>
      </c>
      <c r="P583">
        <v>0.2</v>
      </c>
      <c r="Q583" t="s">
        <v>64</v>
      </c>
      <c r="R583" t="s">
        <v>65</v>
      </c>
      <c r="S583" t="s">
        <v>66</v>
      </c>
      <c r="T583" t="s">
        <v>66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1</v>
      </c>
      <c r="AH583">
        <v>0</v>
      </c>
      <c r="AI583">
        <v>3</v>
      </c>
      <c r="AJ583">
        <v>1</v>
      </c>
      <c r="AK583">
        <v>7</v>
      </c>
      <c r="AL583">
        <v>1</v>
      </c>
      <c r="AM583">
        <v>3</v>
      </c>
      <c r="AN583">
        <v>0</v>
      </c>
      <c r="AO583" t="s">
        <v>3230</v>
      </c>
      <c r="AP583" t="s">
        <v>68</v>
      </c>
      <c r="AQ583">
        <v>0.753</v>
      </c>
      <c r="AR583" t="s">
        <v>69</v>
      </c>
      <c r="AS583">
        <v>10</v>
      </c>
      <c r="AT583">
        <v>1</v>
      </c>
      <c r="AU583">
        <v>2.1649999999999999E-2</v>
      </c>
      <c r="AV583">
        <v>-3.3500000000000001E-3</v>
      </c>
      <c r="AW583">
        <v>8.9760000000000006E-2</v>
      </c>
      <c r="AX583">
        <v>-1.465E-2</v>
      </c>
      <c r="AY583">
        <v>2.2799999999999999E-3</v>
      </c>
      <c r="AZ583">
        <v>-8.8000000000000003E-4</v>
      </c>
      <c r="BA583">
        <v>2.545E-2</v>
      </c>
      <c r="BB583">
        <v>1</v>
      </c>
      <c r="BC583" t="s">
        <v>70</v>
      </c>
      <c r="BD583">
        <v>-0.38200000000000001</v>
      </c>
      <c r="BE583">
        <v>-0.38200000000000001</v>
      </c>
      <c r="BF583" t="s">
        <v>71</v>
      </c>
      <c r="BG583">
        <v>-3.7735849056603703E-2</v>
      </c>
      <c r="BI583">
        <v>11</v>
      </c>
      <c r="BJ583">
        <v>2.545E-2</v>
      </c>
      <c r="BK583">
        <v>-3.7735849056603703E-2</v>
      </c>
    </row>
    <row r="584" spans="1:63">
      <c r="A584">
        <v>3243</v>
      </c>
      <c r="B584" t="s">
        <v>3231</v>
      </c>
      <c r="D584" t="s">
        <v>66</v>
      </c>
      <c r="E584">
        <v>3275835</v>
      </c>
      <c r="F584">
        <v>3276071</v>
      </c>
      <c r="G584" t="s">
        <v>3233</v>
      </c>
      <c r="H584">
        <v>79</v>
      </c>
      <c r="I584" t="s">
        <v>63</v>
      </c>
      <c r="J584">
        <v>5</v>
      </c>
      <c r="K584" t="str">
        <f>HYPERLINK("Gene3243-zp_tree_all.dnd", "Gene3243-tree")</f>
        <v>Gene3243-tree</v>
      </c>
      <c r="L584">
        <v>4</v>
      </c>
      <c r="M584">
        <v>1</v>
      </c>
      <c r="N584">
        <v>3</v>
      </c>
      <c r="O584">
        <v>1</v>
      </c>
      <c r="P584">
        <v>0.25</v>
      </c>
      <c r="Q584" t="s">
        <v>112</v>
      </c>
      <c r="R584" t="s">
        <v>65</v>
      </c>
      <c r="S584" t="s">
        <v>66</v>
      </c>
      <c r="T584" t="s">
        <v>66</v>
      </c>
      <c r="U584">
        <v>1</v>
      </c>
      <c r="V584">
        <v>2</v>
      </c>
      <c r="W584">
        <v>2</v>
      </c>
      <c r="X584">
        <v>0.5</v>
      </c>
      <c r="Y584">
        <v>0</v>
      </c>
      <c r="Z584">
        <v>0</v>
      </c>
      <c r="AA584">
        <v>0</v>
      </c>
      <c r="AB584">
        <v>3</v>
      </c>
      <c r="AC584">
        <v>0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3</v>
      </c>
      <c r="AJ584">
        <v>1</v>
      </c>
      <c r="AK584">
        <v>6</v>
      </c>
      <c r="AL584">
        <v>1</v>
      </c>
      <c r="AM584">
        <v>2</v>
      </c>
      <c r="AN584">
        <v>3</v>
      </c>
      <c r="AO584" t="s">
        <v>3234</v>
      </c>
      <c r="AP584" t="s">
        <v>3235</v>
      </c>
      <c r="AQ584">
        <v>6.4589999999999996</v>
      </c>
      <c r="AR584" t="s">
        <v>69</v>
      </c>
      <c r="AS584">
        <v>8</v>
      </c>
      <c r="AT584">
        <v>4</v>
      </c>
      <c r="AU584">
        <v>2.8830000000000001E-2</v>
      </c>
      <c r="AV584">
        <v>-4.81E-3</v>
      </c>
      <c r="AW584">
        <v>9.0660000000000004E-2</v>
      </c>
      <c r="AX584">
        <v>-1.3979999999999999E-2</v>
      </c>
      <c r="AY584">
        <v>1.362E-2</v>
      </c>
      <c r="AZ584">
        <v>-2.4599999999999999E-3</v>
      </c>
      <c r="BA584">
        <v>0.15023</v>
      </c>
      <c r="BB584">
        <v>1</v>
      </c>
      <c r="BC584" t="s">
        <v>70</v>
      </c>
      <c r="BD584">
        <v>0.30099999999999999</v>
      </c>
      <c r="BE584">
        <v>0.30099999999999999</v>
      </c>
      <c r="BF584" t="s">
        <v>71</v>
      </c>
      <c r="BG584">
        <v>0.17647058823529399</v>
      </c>
      <c r="BI584">
        <v>12</v>
      </c>
      <c r="BJ584">
        <v>0.15023</v>
      </c>
      <c r="BK584">
        <v>0.17647058823529399</v>
      </c>
    </row>
    <row r="585" spans="1:63">
      <c r="A585">
        <v>3248</v>
      </c>
      <c r="B585" t="s">
        <v>3238</v>
      </c>
      <c r="D585" t="s">
        <v>66</v>
      </c>
      <c r="E585">
        <v>3280297</v>
      </c>
      <c r="F585">
        <v>3280503</v>
      </c>
      <c r="G585" t="s">
        <v>74</v>
      </c>
      <c r="H585">
        <v>69</v>
      </c>
      <c r="I585" t="s">
        <v>63</v>
      </c>
      <c r="J585">
        <v>5</v>
      </c>
      <c r="K585" t="str">
        <f>HYPERLINK("Gene3248-zp_tree_all.dnd", "Gene3248-tree")</f>
        <v>Gene3248-tree</v>
      </c>
      <c r="L585">
        <v>2</v>
      </c>
      <c r="M585">
        <v>3</v>
      </c>
      <c r="N585">
        <v>2</v>
      </c>
      <c r="O585">
        <v>3</v>
      </c>
      <c r="P585">
        <v>0.6</v>
      </c>
      <c r="Q585" t="s">
        <v>124</v>
      </c>
      <c r="R585" t="s">
        <v>86</v>
      </c>
      <c r="S585" t="s">
        <v>66</v>
      </c>
      <c r="T585" t="s">
        <v>66</v>
      </c>
      <c r="U585">
        <v>0</v>
      </c>
      <c r="V585">
        <v>0</v>
      </c>
      <c r="W585">
        <v>4</v>
      </c>
      <c r="X585">
        <v>0</v>
      </c>
      <c r="Y585">
        <v>0</v>
      </c>
      <c r="Z585">
        <v>0</v>
      </c>
      <c r="AA585">
        <v>0</v>
      </c>
      <c r="AB585">
        <v>2</v>
      </c>
      <c r="AC585">
        <v>0</v>
      </c>
      <c r="AD585">
        <v>0</v>
      </c>
      <c r="AE585">
        <v>0</v>
      </c>
      <c r="AF585">
        <v>0</v>
      </c>
      <c r="AG585">
        <v>2</v>
      </c>
      <c r="AH585">
        <v>0</v>
      </c>
      <c r="AI585">
        <v>4</v>
      </c>
      <c r="AJ585">
        <v>2</v>
      </c>
      <c r="AK585">
        <v>4</v>
      </c>
      <c r="AL585">
        <v>2</v>
      </c>
      <c r="AM585">
        <v>4</v>
      </c>
      <c r="AN585">
        <v>2</v>
      </c>
      <c r="AO585" t="s">
        <v>3240</v>
      </c>
      <c r="AP585" t="s">
        <v>3241</v>
      </c>
      <c r="AQ585">
        <v>0.02</v>
      </c>
      <c r="AR585" t="s">
        <v>69</v>
      </c>
      <c r="AS585">
        <v>8</v>
      </c>
      <c r="AT585">
        <v>4</v>
      </c>
      <c r="AU585">
        <v>2.8989999999999998E-2</v>
      </c>
      <c r="AV585">
        <v>-4.0400000000000002E-3</v>
      </c>
      <c r="AW585">
        <v>9.6729999999999997E-2</v>
      </c>
      <c r="AX585">
        <v>-1.5709999999999998E-2</v>
      </c>
      <c r="AY585">
        <v>1.2460000000000001E-2</v>
      </c>
      <c r="AZ585">
        <v>-1.99E-3</v>
      </c>
      <c r="BA585">
        <v>0.1288</v>
      </c>
      <c r="BB585">
        <v>1</v>
      </c>
      <c r="BC585" t="s">
        <v>70</v>
      </c>
      <c r="BD585">
        <v>0.30099999999999999</v>
      </c>
      <c r="BE585">
        <v>0.30099999999999999</v>
      </c>
      <c r="BF585" t="s">
        <v>71</v>
      </c>
      <c r="BG585">
        <v>0.221052631578947</v>
      </c>
      <c r="BI585">
        <v>12</v>
      </c>
      <c r="BJ585">
        <v>0.1288</v>
      </c>
      <c r="BK585">
        <v>0.221052631578947</v>
      </c>
    </row>
    <row r="586" spans="1:63">
      <c r="A586">
        <v>3261</v>
      </c>
      <c r="B586" t="s">
        <v>3242</v>
      </c>
      <c r="D586" t="s">
        <v>66</v>
      </c>
      <c r="E586">
        <v>3299347</v>
      </c>
      <c r="F586">
        <v>3299664</v>
      </c>
      <c r="G586" t="s">
        <v>74</v>
      </c>
      <c r="H586">
        <v>106</v>
      </c>
      <c r="I586" t="s">
        <v>63</v>
      </c>
      <c r="J586">
        <v>5</v>
      </c>
      <c r="K586" t="str">
        <f>HYPERLINK("Gene3261-zp_tree_all.dnd", "Gene3261-tree")</f>
        <v>Gene3261-tree</v>
      </c>
      <c r="L586">
        <v>1</v>
      </c>
      <c r="M586">
        <v>4</v>
      </c>
      <c r="N586">
        <v>1</v>
      </c>
      <c r="O586">
        <v>4</v>
      </c>
      <c r="P586">
        <v>0.8</v>
      </c>
      <c r="Q586" t="s">
        <v>65</v>
      </c>
      <c r="R586" t="s">
        <v>64</v>
      </c>
      <c r="S586" t="s">
        <v>66</v>
      </c>
      <c r="T586" t="s">
        <v>66</v>
      </c>
      <c r="U586">
        <v>1</v>
      </c>
      <c r="V586">
        <v>2</v>
      </c>
      <c r="W586">
        <v>8</v>
      </c>
      <c r="X586">
        <v>0.2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2</v>
      </c>
      <c r="AE586">
        <v>0</v>
      </c>
      <c r="AF586">
        <v>2</v>
      </c>
      <c r="AG586">
        <v>8</v>
      </c>
      <c r="AH586">
        <v>0.2</v>
      </c>
      <c r="AI586">
        <v>5</v>
      </c>
      <c r="AJ586">
        <v>2</v>
      </c>
      <c r="AK586">
        <v>14</v>
      </c>
      <c r="AL586">
        <v>6</v>
      </c>
      <c r="AM586">
        <v>3</v>
      </c>
      <c r="AN586">
        <v>4</v>
      </c>
      <c r="AO586" t="s">
        <v>3244</v>
      </c>
      <c r="AP586" t="s">
        <v>3245</v>
      </c>
      <c r="AQ586">
        <v>2.4350000000000001</v>
      </c>
      <c r="AR586" t="s">
        <v>69</v>
      </c>
      <c r="AS586">
        <v>17</v>
      </c>
      <c r="AT586">
        <v>10</v>
      </c>
      <c r="AU586">
        <v>3.6479999999999999E-2</v>
      </c>
      <c r="AV586">
        <v>-3.2699999999999999E-3</v>
      </c>
      <c r="AW586">
        <v>0.10184</v>
      </c>
      <c r="AX586">
        <v>-1.061E-2</v>
      </c>
      <c r="AY586">
        <v>1.8460000000000001E-2</v>
      </c>
      <c r="AZ586">
        <v>-2.48E-3</v>
      </c>
      <c r="BA586">
        <v>0.18124000000000001</v>
      </c>
      <c r="BB586">
        <v>1</v>
      </c>
      <c r="BC586" t="s">
        <v>70</v>
      </c>
      <c r="BD586">
        <v>-0.248</v>
      </c>
      <c r="BE586">
        <v>-0.248</v>
      </c>
      <c r="BF586" t="s">
        <v>71</v>
      </c>
      <c r="BG586">
        <v>9.9236641221374003E-2</v>
      </c>
      <c r="BI586">
        <v>27</v>
      </c>
      <c r="BJ586">
        <v>0.18124000000000001</v>
      </c>
      <c r="BK586">
        <v>9.9236641221374003E-2</v>
      </c>
    </row>
    <row r="587" spans="1:63">
      <c r="A587">
        <v>3262</v>
      </c>
      <c r="B587" t="s">
        <v>3246</v>
      </c>
      <c r="D587" t="s">
        <v>66</v>
      </c>
      <c r="E587">
        <v>3299721</v>
      </c>
      <c r="F587">
        <v>3299861</v>
      </c>
      <c r="G587" t="s">
        <v>74</v>
      </c>
      <c r="H587">
        <v>47</v>
      </c>
      <c r="I587" t="s">
        <v>63</v>
      </c>
      <c r="J587">
        <v>5</v>
      </c>
      <c r="K587" t="str">
        <f>HYPERLINK("Gene3262-zp_tree_all.dnd", "Gene3262-tree")</f>
        <v>Gene3262-tree</v>
      </c>
      <c r="L587">
        <v>1</v>
      </c>
      <c r="M587">
        <v>4</v>
      </c>
      <c r="N587">
        <v>1</v>
      </c>
      <c r="O587">
        <v>3</v>
      </c>
      <c r="P587">
        <v>0.75</v>
      </c>
      <c r="Q587" t="s">
        <v>65</v>
      </c>
      <c r="R587" t="s">
        <v>112</v>
      </c>
      <c r="S587">
        <v>5</v>
      </c>
      <c r="T587" t="s">
        <v>239</v>
      </c>
      <c r="U587">
        <v>0</v>
      </c>
      <c r="V587">
        <v>0</v>
      </c>
      <c r="W587">
        <v>3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3</v>
      </c>
      <c r="AH587">
        <v>0</v>
      </c>
      <c r="AI587">
        <v>3</v>
      </c>
      <c r="AJ587">
        <v>1</v>
      </c>
      <c r="AK587">
        <v>7</v>
      </c>
      <c r="AL587">
        <v>3</v>
      </c>
      <c r="AM587">
        <v>1</v>
      </c>
      <c r="AN587">
        <v>0</v>
      </c>
      <c r="AO587" t="s">
        <v>3248</v>
      </c>
      <c r="AP587" t="s">
        <v>68</v>
      </c>
      <c r="AQ587">
        <v>5.5309999999999997</v>
      </c>
      <c r="AR587" t="s">
        <v>239</v>
      </c>
      <c r="AS587">
        <v>8</v>
      </c>
      <c r="AT587">
        <v>3</v>
      </c>
      <c r="AU587">
        <v>3.7830000000000003E-2</v>
      </c>
      <c r="AV587">
        <v>-6.4000000000000003E-3</v>
      </c>
      <c r="AW587">
        <v>0.12776000000000001</v>
      </c>
      <c r="AX587">
        <v>-2.8760000000000001E-2</v>
      </c>
      <c r="AY587">
        <v>1.409E-2</v>
      </c>
      <c r="AZ587">
        <v>-1.9300000000000001E-3</v>
      </c>
      <c r="BA587">
        <v>0.11028</v>
      </c>
      <c r="BB587">
        <v>1</v>
      </c>
      <c r="BC587" t="s">
        <v>70</v>
      </c>
      <c r="BD587">
        <v>0.89400000000000002</v>
      </c>
      <c r="BE587">
        <v>0.89400000000000002</v>
      </c>
      <c r="BF587" t="s">
        <v>71</v>
      </c>
      <c r="BG587">
        <v>0</v>
      </c>
      <c r="BI587">
        <v>11</v>
      </c>
      <c r="BJ587">
        <v>0.11028</v>
      </c>
      <c r="BK587">
        <v>0</v>
      </c>
    </row>
    <row r="588" spans="1:63">
      <c r="A588">
        <v>3267</v>
      </c>
      <c r="B588" t="s">
        <v>3257</v>
      </c>
      <c r="D588" t="s">
        <v>66</v>
      </c>
      <c r="E588">
        <v>3304099</v>
      </c>
      <c r="F588">
        <v>3304719</v>
      </c>
      <c r="G588" t="s">
        <v>3259</v>
      </c>
      <c r="H588">
        <v>207</v>
      </c>
      <c r="I588" t="s">
        <v>85</v>
      </c>
      <c r="J588">
        <v>4</v>
      </c>
      <c r="K588" t="str">
        <f>HYPERLINK("Gene3267-zp_tree_all.dnd", "Gene3267-tree")</f>
        <v>Gene3267-tree</v>
      </c>
      <c r="L588">
        <v>0</v>
      </c>
      <c r="M588">
        <v>4</v>
      </c>
      <c r="N588">
        <v>0</v>
      </c>
      <c r="O588">
        <v>4</v>
      </c>
      <c r="P588">
        <v>1</v>
      </c>
      <c r="Q588" t="s">
        <v>66</v>
      </c>
      <c r="R588" t="s">
        <v>64</v>
      </c>
      <c r="S588" t="s">
        <v>66</v>
      </c>
      <c r="T588" t="s">
        <v>66</v>
      </c>
      <c r="U588">
        <v>2</v>
      </c>
      <c r="V588">
        <v>4</v>
      </c>
      <c r="W588">
        <v>11</v>
      </c>
      <c r="X588">
        <v>0.26667000000000002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2</v>
      </c>
      <c r="AE588">
        <v>2</v>
      </c>
      <c r="AF588">
        <v>4</v>
      </c>
      <c r="AG588">
        <v>11</v>
      </c>
      <c r="AH588">
        <v>0.26667000000000002</v>
      </c>
      <c r="AI588">
        <v>4</v>
      </c>
      <c r="AJ588">
        <v>1</v>
      </c>
      <c r="AK588">
        <v>14</v>
      </c>
      <c r="AL588">
        <v>16</v>
      </c>
      <c r="AM588">
        <v>2</v>
      </c>
      <c r="AN588">
        <v>0</v>
      </c>
      <c r="AO588" t="s">
        <v>3260</v>
      </c>
      <c r="AP588" t="s">
        <v>68</v>
      </c>
      <c r="AQ588">
        <v>0.83</v>
      </c>
      <c r="AR588" t="s">
        <v>69</v>
      </c>
      <c r="AS588">
        <v>16</v>
      </c>
      <c r="AT588">
        <v>16</v>
      </c>
      <c r="AU588">
        <v>2.528E-2</v>
      </c>
      <c r="AV588">
        <v>-5.79E-3</v>
      </c>
      <c r="AW588">
        <v>6.9070000000000006E-2</v>
      </c>
      <c r="AX588">
        <v>-2.1780000000000001E-2</v>
      </c>
      <c r="AY588">
        <v>1.5520000000000001E-2</v>
      </c>
      <c r="AZ588">
        <v>-2.3999999999999998E-3</v>
      </c>
      <c r="BA588">
        <v>0.22473000000000001</v>
      </c>
      <c r="BB588">
        <v>1</v>
      </c>
      <c r="BC588" t="s">
        <v>70</v>
      </c>
      <c r="BD588">
        <v>-0.34100000000000003</v>
      </c>
      <c r="BE588">
        <v>-0.76</v>
      </c>
      <c r="BF588" t="s">
        <v>71</v>
      </c>
      <c r="BG588">
        <v>0.15044247787610601</v>
      </c>
      <c r="BI588">
        <v>32</v>
      </c>
      <c r="BJ588">
        <v>0.22473000000000001</v>
      </c>
      <c r="BK588">
        <v>0.15044247787610601</v>
      </c>
    </row>
    <row r="589" spans="1:63">
      <c r="A589">
        <v>3271</v>
      </c>
      <c r="B589" t="s">
        <v>3263</v>
      </c>
      <c r="D589" t="s">
        <v>66</v>
      </c>
      <c r="E589">
        <v>3307020</v>
      </c>
      <c r="F589">
        <v>3308231</v>
      </c>
      <c r="G589" t="s">
        <v>3265</v>
      </c>
      <c r="H589">
        <v>404</v>
      </c>
      <c r="I589" t="s">
        <v>106</v>
      </c>
      <c r="J589">
        <v>4</v>
      </c>
      <c r="K589" t="str">
        <f>HYPERLINK("Gene3271-zp_tree_all.dnd", "Gene3271-tree")</f>
        <v>Gene3271-tree</v>
      </c>
      <c r="L589">
        <v>2</v>
      </c>
      <c r="M589">
        <v>2</v>
      </c>
      <c r="N589">
        <v>2</v>
      </c>
      <c r="O589">
        <v>2</v>
      </c>
      <c r="P589">
        <v>0.5</v>
      </c>
      <c r="Q589" t="s">
        <v>124</v>
      </c>
      <c r="R589" t="s">
        <v>124</v>
      </c>
      <c r="S589" t="s">
        <v>66</v>
      </c>
      <c r="T589" t="s">
        <v>66</v>
      </c>
      <c r="U589">
        <v>0</v>
      </c>
      <c r="V589">
        <v>0</v>
      </c>
      <c r="W589">
        <v>6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6</v>
      </c>
      <c r="AH589">
        <v>0</v>
      </c>
      <c r="AI589">
        <v>4</v>
      </c>
      <c r="AJ589">
        <v>1</v>
      </c>
      <c r="AK589">
        <v>62</v>
      </c>
      <c r="AL589">
        <v>6</v>
      </c>
      <c r="AM589">
        <v>1</v>
      </c>
      <c r="AN589">
        <v>0</v>
      </c>
      <c r="AO589" t="s">
        <v>3266</v>
      </c>
      <c r="AP589" t="s">
        <v>68</v>
      </c>
      <c r="AQ589">
        <v>0.56299999999999994</v>
      </c>
      <c r="AR589" t="s">
        <v>69</v>
      </c>
      <c r="AS589">
        <v>63</v>
      </c>
      <c r="AT589">
        <v>6</v>
      </c>
      <c r="AU589">
        <v>2.8049999999999999E-2</v>
      </c>
      <c r="AV589">
        <v>-8.5400000000000007E-3</v>
      </c>
      <c r="AW589">
        <v>0.11405</v>
      </c>
      <c r="AX589">
        <v>-3.5709999999999999E-2</v>
      </c>
      <c r="AY589">
        <v>3.32E-3</v>
      </c>
      <c r="AZ589">
        <v>-1.08E-3</v>
      </c>
      <c r="BA589">
        <v>2.913E-2</v>
      </c>
      <c r="BB589">
        <v>1</v>
      </c>
      <c r="BC589" t="s">
        <v>70</v>
      </c>
      <c r="BD589">
        <v>-0.72699999999999998</v>
      </c>
      <c r="BE589">
        <v>-0.72699999999999998</v>
      </c>
      <c r="BF589" t="s">
        <v>71</v>
      </c>
      <c r="BG589">
        <v>0.10683012259194299</v>
      </c>
      <c r="BI589">
        <v>69</v>
      </c>
      <c r="BJ589">
        <v>2.913E-2</v>
      </c>
      <c r="BK589">
        <v>0.10683012259194299</v>
      </c>
    </row>
    <row r="590" spans="1:63">
      <c r="A590">
        <v>3272</v>
      </c>
      <c r="B590" t="s">
        <v>3267</v>
      </c>
      <c r="D590" t="s">
        <v>66</v>
      </c>
      <c r="E590">
        <v>3308371</v>
      </c>
      <c r="F590">
        <v>3308604</v>
      </c>
      <c r="G590" t="s">
        <v>74</v>
      </c>
      <c r="H590">
        <v>78</v>
      </c>
      <c r="I590" t="s">
        <v>63</v>
      </c>
      <c r="J590">
        <v>5</v>
      </c>
      <c r="K590" t="str">
        <f>HYPERLINK("Gene3272-zp_tree_all.dnd", "Gene3272-tree")</f>
        <v>Gene3272-tree</v>
      </c>
      <c r="L590">
        <v>5</v>
      </c>
      <c r="M590">
        <v>0</v>
      </c>
      <c r="N590">
        <v>4</v>
      </c>
      <c r="O590">
        <v>0</v>
      </c>
      <c r="P590">
        <v>0</v>
      </c>
      <c r="Q590" t="s">
        <v>135</v>
      </c>
      <c r="R590" t="s">
        <v>66</v>
      </c>
      <c r="S590" t="s">
        <v>66</v>
      </c>
      <c r="T590" t="s">
        <v>66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3</v>
      </c>
      <c r="AJ590">
        <v>0</v>
      </c>
      <c r="AK590">
        <v>9</v>
      </c>
      <c r="AL590">
        <v>0</v>
      </c>
      <c r="AM590">
        <v>0</v>
      </c>
      <c r="AN590">
        <v>0</v>
      </c>
      <c r="AO590" t="s">
        <v>68</v>
      </c>
      <c r="AP590" t="s">
        <v>68</v>
      </c>
      <c r="AQ590">
        <v>0</v>
      </c>
      <c r="AR590" t="s">
        <v>69</v>
      </c>
      <c r="AS590">
        <v>9</v>
      </c>
      <c r="AT590">
        <v>0</v>
      </c>
      <c r="AU590">
        <v>1.9230000000000001E-2</v>
      </c>
      <c r="AV590">
        <v>-4.5900000000000003E-3</v>
      </c>
      <c r="AW590">
        <v>9.7549999999999998E-2</v>
      </c>
      <c r="AX590">
        <v>-2.4289999999999999E-2</v>
      </c>
      <c r="AY590">
        <v>0</v>
      </c>
      <c r="AZ590">
        <v>0</v>
      </c>
      <c r="BA590">
        <v>0</v>
      </c>
      <c r="BB590">
        <v>1</v>
      </c>
      <c r="BC590" t="s">
        <v>70</v>
      </c>
      <c r="BD590">
        <v>0.79</v>
      </c>
      <c r="BE590">
        <v>0.79</v>
      </c>
      <c r="BF590" t="s">
        <v>71</v>
      </c>
      <c r="BG590">
        <v>0.134615384615384</v>
      </c>
      <c r="BI590">
        <v>9</v>
      </c>
      <c r="BJ590">
        <v>0</v>
      </c>
      <c r="BK590">
        <v>0.134615384615384</v>
      </c>
    </row>
    <row r="591" spans="1:63">
      <c r="A591">
        <v>3274</v>
      </c>
      <c r="B591" t="s">
        <v>3274</v>
      </c>
      <c r="D591" t="s">
        <v>66</v>
      </c>
      <c r="E591">
        <v>3309963</v>
      </c>
      <c r="F591">
        <v>3310286</v>
      </c>
      <c r="G591" t="s">
        <v>3276</v>
      </c>
      <c r="H591">
        <v>108</v>
      </c>
      <c r="I591" t="s">
        <v>63</v>
      </c>
      <c r="J591">
        <v>5</v>
      </c>
      <c r="K591" t="str">
        <f>HYPERLINK("Gene3274-zp_tree_all.dnd", "Gene3274-tree")</f>
        <v>Gene3274-tree</v>
      </c>
      <c r="L591">
        <v>1</v>
      </c>
      <c r="M591">
        <v>4</v>
      </c>
      <c r="N591">
        <v>1</v>
      </c>
      <c r="O591">
        <v>4</v>
      </c>
      <c r="P591">
        <v>0.8</v>
      </c>
      <c r="Q591" t="s">
        <v>65</v>
      </c>
      <c r="R591" t="s">
        <v>64</v>
      </c>
      <c r="S591" t="s">
        <v>66</v>
      </c>
      <c r="T591" t="s">
        <v>66</v>
      </c>
      <c r="U591">
        <v>2</v>
      </c>
      <c r="V591">
        <v>4</v>
      </c>
      <c r="W591">
        <v>4</v>
      </c>
      <c r="X591">
        <v>0.5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2</v>
      </c>
      <c r="AE591">
        <v>2</v>
      </c>
      <c r="AF591">
        <v>4</v>
      </c>
      <c r="AG591">
        <v>4</v>
      </c>
      <c r="AH591">
        <v>0.5</v>
      </c>
      <c r="AI591">
        <v>5</v>
      </c>
      <c r="AJ591">
        <v>2</v>
      </c>
      <c r="AK591">
        <v>8</v>
      </c>
      <c r="AL591">
        <v>7</v>
      </c>
      <c r="AM591">
        <v>7</v>
      </c>
      <c r="AN591">
        <v>1</v>
      </c>
      <c r="AO591" t="s">
        <v>3277</v>
      </c>
      <c r="AP591" t="s">
        <v>3278</v>
      </c>
      <c r="AQ591">
        <v>1.659</v>
      </c>
      <c r="AR591" t="s">
        <v>69</v>
      </c>
      <c r="AS591">
        <v>15</v>
      </c>
      <c r="AT591">
        <v>8</v>
      </c>
      <c r="AU591">
        <v>3.3020000000000001E-2</v>
      </c>
      <c r="AV591">
        <v>-4.1099999999999999E-3</v>
      </c>
      <c r="AW591">
        <v>0.1196</v>
      </c>
      <c r="AX591">
        <v>-1.949E-2</v>
      </c>
      <c r="AY591">
        <v>1.2529999999999999E-2</v>
      </c>
      <c r="AZ591">
        <v>-1.47E-3</v>
      </c>
      <c r="BA591">
        <v>0.10477</v>
      </c>
      <c r="BB591">
        <v>1</v>
      </c>
      <c r="BC591" t="s">
        <v>70</v>
      </c>
      <c r="BD591">
        <v>0.309</v>
      </c>
      <c r="BE591">
        <v>-5.8999999999999997E-2</v>
      </c>
      <c r="BF591" t="s">
        <v>71</v>
      </c>
      <c r="BG591">
        <v>0.205673758865248</v>
      </c>
      <c r="BI591">
        <v>23</v>
      </c>
      <c r="BJ591">
        <v>0.10477</v>
      </c>
      <c r="BK591">
        <v>0.205673758865248</v>
      </c>
    </row>
    <row r="592" spans="1:63">
      <c r="A592">
        <v>3284</v>
      </c>
      <c r="B592" t="s">
        <v>3289</v>
      </c>
      <c r="D592" t="s">
        <v>66</v>
      </c>
      <c r="E592">
        <v>3319289</v>
      </c>
      <c r="F592">
        <v>3319561</v>
      </c>
      <c r="G592" t="s">
        <v>74</v>
      </c>
      <c r="H592">
        <v>91</v>
      </c>
      <c r="I592" t="s">
        <v>63</v>
      </c>
      <c r="J592">
        <v>5</v>
      </c>
      <c r="K592" t="str">
        <f>HYPERLINK("Gene3284-zp_tree_all.dnd", "Gene3284-tree")</f>
        <v>Gene3284-tree</v>
      </c>
      <c r="L592">
        <v>4</v>
      </c>
      <c r="M592">
        <v>1</v>
      </c>
      <c r="N592">
        <v>3</v>
      </c>
      <c r="O592">
        <v>1</v>
      </c>
      <c r="P592">
        <v>0.25</v>
      </c>
      <c r="Q592" t="s">
        <v>112</v>
      </c>
      <c r="R592" t="s">
        <v>65</v>
      </c>
      <c r="S592" t="s">
        <v>66</v>
      </c>
      <c r="T592" t="s">
        <v>66</v>
      </c>
      <c r="U592">
        <v>0</v>
      </c>
      <c r="V592">
        <v>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1</v>
      </c>
      <c r="AH592">
        <v>0</v>
      </c>
      <c r="AI592">
        <v>3</v>
      </c>
      <c r="AJ592">
        <v>1</v>
      </c>
      <c r="AK592">
        <v>5</v>
      </c>
      <c r="AL592">
        <v>1</v>
      </c>
      <c r="AM592">
        <v>4</v>
      </c>
      <c r="AN592">
        <v>1</v>
      </c>
      <c r="AO592" t="s">
        <v>3291</v>
      </c>
      <c r="AP592" t="s">
        <v>3292</v>
      </c>
      <c r="AQ592">
        <v>0.17799999999999999</v>
      </c>
      <c r="AR592" t="s">
        <v>69</v>
      </c>
      <c r="AS592">
        <v>9</v>
      </c>
      <c r="AT592">
        <v>2</v>
      </c>
      <c r="AU592">
        <v>2.198E-2</v>
      </c>
      <c r="AV592">
        <v>-3.8600000000000001E-3</v>
      </c>
      <c r="AW592">
        <v>9.5920000000000005E-2</v>
      </c>
      <c r="AX592">
        <v>-1.626E-2</v>
      </c>
      <c r="AY592">
        <v>5.3600000000000002E-3</v>
      </c>
      <c r="AZ592">
        <v>-9.3000000000000005E-4</v>
      </c>
      <c r="BA592">
        <v>5.5870000000000003E-2</v>
      </c>
      <c r="BB592">
        <v>1</v>
      </c>
      <c r="BC592" t="s">
        <v>70</v>
      </c>
      <c r="BD592">
        <v>0.59599999999999997</v>
      </c>
      <c r="BE592">
        <v>0.59599999999999997</v>
      </c>
      <c r="BF592" t="s">
        <v>71</v>
      </c>
      <c r="BG592">
        <v>8.5714285714285701E-2</v>
      </c>
      <c r="BI592">
        <v>11</v>
      </c>
      <c r="BJ592">
        <v>5.5870000000000003E-2</v>
      </c>
      <c r="BK592">
        <v>8.5714285714285701E-2</v>
      </c>
    </row>
    <row r="593" spans="1:63">
      <c r="A593">
        <v>3286</v>
      </c>
      <c r="B593" t="s">
        <v>3293</v>
      </c>
      <c r="D593" t="s">
        <v>66</v>
      </c>
      <c r="E593">
        <v>3320327</v>
      </c>
      <c r="F593">
        <v>3321220</v>
      </c>
      <c r="G593" t="s">
        <v>3295</v>
      </c>
      <c r="H593">
        <v>298</v>
      </c>
      <c r="I593" t="s">
        <v>63</v>
      </c>
      <c r="J593">
        <v>5</v>
      </c>
      <c r="K593" t="str">
        <f>HYPERLINK("Gene3286-zp_tree_all.dnd", "Gene3286-tree")</f>
        <v>Gene3286-tree</v>
      </c>
      <c r="L593">
        <v>5</v>
      </c>
      <c r="M593">
        <v>0</v>
      </c>
      <c r="N593">
        <v>5</v>
      </c>
      <c r="O593">
        <v>0</v>
      </c>
      <c r="P593">
        <v>0</v>
      </c>
      <c r="Q593" t="s">
        <v>96</v>
      </c>
      <c r="R593" t="s">
        <v>66</v>
      </c>
      <c r="S593" t="s">
        <v>66</v>
      </c>
      <c r="T593" t="s">
        <v>66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5</v>
      </c>
      <c r="AJ593">
        <v>2</v>
      </c>
      <c r="AK593">
        <v>42</v>
      </c>
      <c r="AL593">
        <v>0</v>
      </c>
      <c r="AM593">
        <v>24</v>
      </c>
      <c r="AN593">
        <v>0</v>
      </c>
      <c r="AO593" t="s">
        <v>68</v>
      </c>
      <c r="AP593" t="s">
        <v>68</v>
      </c>
      <c r="AQ593">
        <v>0</v>
      </c>
      <c r="AR593" t="s">
        <v>69</v>
      </c>
      <c r="AS593">
        <v>66</v>
      </c>
      <c r="AT593">
        <v>0</v>
      </c>
      <c r="AU593">
        <v>3.322E-2</v>
      </c>
      <c r="AV593">
        <v>-4.2900000000000004E-3</v>
      </c>
      <c r="AW593">
        <v>0.1686</v>
      </c>
      <c r="AX593">
        <v>-2.358E-2</v>
      </c>
      <c r="AY593">
        <v>0</v>
      </c>
      <c r="AZ593">
        <v>0</v>
      </c>
      <c r="BA593">
        <v>0</v>
      </c>
      <c r="BB593">
        <v>1</v>
      </c>
      <c r="BC593" t="s">
        <v>70</v>
      </c>
      <c r="BD593">
        <v>0.36899999999999999</v>
      </c>
      <c r="BE593">
        <v>0.23499999999999999</v>
      </c>
      <c r="BF593" t="s">
        <v>71</v>
      </c>
      <c r="BG593">
        <v>2.14797136038186E-2</v>
      </c>
      <c r="BI593">
        <v>66</v>
      </c>
      <c r="BJ593">
        <v>0</v>
      </c>
      <c r="BK593">
        <v>2.14797136038186E-2</v>
      </c>
    </row>
    <row r="594" spans="1:63">
      <c r="A594">
        <v>3292</v>
      </c>
      <c r="B594" t="s">
        <v>3296</v>
      </c>
      <c r="D594" t="s">
        <v>66</v>
      </c>
      <c r="E594">
        <v>3325920</v>
      </c>
      <c r="F594">
        <v>3326765</v>
      </c>
      <c r="G594" t="s">
        <v>74</v>
      </c>
      <c r="H594">
        <v>282</v>
      </c>
      <c r="I594" t="s">
        <v>63</v>
      </c>
      <c r="J594">
        <v>5</v>
      </c>
      <c r="K594" t="str">
        <f>HYPERLINK("Gene3292-zp_tree_all.dnd", "Gene3292-tree")</f>
        <v>Gene3292-tree</v>
      </c>
      <c r="L594">
        <v>3</v>
      </c>
      <c r="M594">
        <v>2</v>
      </c>
      <c r="N594">
        <v>3</v>
      </c>
      <c r="O594">
        <v>2</v>
      </c>
      <c r="P594">
        <v>0.4</v>
      </c>
      <c r="Q594" t="s">
        <v>86</v>
      </c>
      <c r="R594" t="s">
        <v>124</v>
      </c>
      <c r="S594" t="s">
        <v>66</v>
      </c>
      <c r="T594" t="s">
        <v>66</v>
      </c>
      <c r="U594">
        <v>0</v>
      </c>
      <c r="V594">
        <v>0</v>
      </c>
      <c r="W594">
        <v>4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4</v>
      </c>
      <c r="AH594">
        <v>0</v>
      </c>
      <c r="AI594">
        <v>5</v>
      </c>
      <c r="AJ594">
        <v>2</v>
      </c>
      <c r="AK594">
        <v>24</v>
      </c>
      <c r="AL594">
        <v>3</v>
      </c>
      <c r="AM594">
        <v>19</v>
      </c>
      <c r="AN594">
        <v>1</v>
      </c>
      <c r="AO594" t="s">
        <v>3298</v>
      </c>
      <c r="AP594" t="s">
        <v>3299</v>
      </c>
      <c r="AQ594">
        <v>0.55900000000000005</v>
      </c>
      <c r="AR594" t="s">
        <v>69</v>
      </c>
      <c r="AS594">
        <v>43</v>
      </c>
      <c r="AT594">
        <v>4</v>
      </c>
      <c r="AU594">
        <v>2.5999999999999999E-2</v>
      </c>
      <c r="AV594">
        <v>-3.2699999999999999E-3</v>
      </c>
      <c r="AW594">
        <v>0.12633</v>
      </c>
      <c r="AX594">
        <v>-1.7160000000000002E-2</v>
      </c>
      <c r="AY594">
        <v>2.8400000000000001E-3</v>
      </c>
      <c r="AZ594">
        <v>-5.4000000000000001E-4</v>
      </c>
      <c r="BA594">
        <v>2.249E-2</v>
      </c>
      <c r="BB594">
        <v>1</v>
      </c>
      <c r="BC594" t="s">
        <v>70</v>
      </c>
      <c r="BD594">
        <v>0.314</v>
      </c>
      <c r="BE594">
        <v>-0.185</v>
      </c>
      <c r="BF594" t="s">
        <v>71</v>
      </c>
      <c r="BG594">
        <v>0.110576923076923</v>
      </c>
      <c r="BI594">
        <v>47</v>
      </c>
      <c r="BJ594">
        <v>2.249E-2</v>
      </c>
      <c r="BK594">
        <v>0.110576923076923</v>
      </c>
    </row>
    <row r="595" spans="1:63">
      <c r="A595">
        <v>3312</v>
      </c>
      <c r="B595" t="s">
        <v>3300</v>
      </c>
      <c r="D595" t="s">
        <v>66</v>
      </c>
      <c r="E595">
        <v>3347922</v>
      </c>
      <c r="F595">
        <v>3348821</v>
      </c>
      <c r="G595" t="s">
        <v>657</v>
      </c>
      <c r="H595">
        <v>300</v>
      </c>
      <c r="I595" t="s">
        <v>63</v>
      </c>
      <c r="J595">
        <v>5</v>
      </c>
      <c r="K595" t="str">
        <f>HYPERLINK("Gene3312-zp_tree_all.dnd", "Gene3312-tree")</f>
        <v>Gene3312-tree</v>
      </c>
      <c r="L595">
        <v>2</v>
      </c>
      <c r="M595">
        <v>3</v>
      </c>
      <c r="N595">
        <v>2</v>
      </c>
      <c r="O595">
        <v>3</v>
      </c>
      <c r="P595">
        <v>0.6</v>
      </c>
      <c r="Q595" t="s">
        <v>124</v>
      </c>
      <c r="R595" t="s">
        <v>86</v>
      </c>
      <c r="S595" t="s">
        <v>66</v>
      </c>
      <c r="T595" t="s">
        <v>66</v>
      </c>
      <c r="U595">
        <v>0</v>
      </c>
      <c r="V595">
        <v>0</v>
      </c>
      <c r="W595">
        <v>8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8</v>
      </c>
      <c r="AH595">
        <v>0</v>
      </c>
      <c r="AI595">
        <v>4</v>
      </c>
      <c r="AJ595">
        <v>2</v>
      </c>
      <c r="AK595">
        <v>22</v>
      </c>
      <c r="AL595">
        <v>7</v>
      </c>
      <c r="AM595">
        <v>31</v>
      </c>
      <c r="AN595">
        <v>3</v>
      </c>
      <c r="AO595" t="s">
        <v>3302</v>
      </c>
      <c r="AP595" t="s">
        <v>3303</v>
      </c>
      <c r="AQ595">
        <v>1.8109999999999999</v>
      </c>
      <c r="AR595" t="s">
        <v>69</v>
      </c>
      <c r="AS595">
        <v>53</v>
      </c>
      <c r="AT595">
        <v>10</v>
      </c>
      <c r="AU595">
        <v>3.422E-2</v>
      </c>
      <c r="AV595">
        <v>-5.4299999999999999E-3</v>
      </c>
      <c r="AW595">
        <v>0.13938</v>
      </c>
      <c r="AX595">
        <v>-2.4080000000000001E-2</v>
      </c>
      <c r="AY595">
        <v>6.7200000000000003E-3</v>
      </c>
      <c r="AZ595">
        <v>-1.0399999999999999E-3</v>
      </c>
      <c r="BA595">
        <v>4.8189999999999997E-2</v>
      </c>
      <c r="BB595">
        <v>1</v>
      </c>
      <c r="BC595" t="s">
        <v>70</v>
      </c>
      <c r="BD595">
        <v>0.52500000000000002</v>
      </c>
      <c r="BE595">
        <v>0.42</v>
      </c>
      <c r="BF595" t="s">
        <v>71</v>
      </c>
      <c r="BG595">
        <v>0.13868613138686101</v>
      </c>
      <c r="BI595">
        <v>63</v>
      </c>
      <c r="BJ595">
        <v>4.8189999999999997E-2</v>
      </c>
      <c r="BK595">
        <v>0.13868613138686101</v>
      </c>
    </row>
    <row r="596" spans="1:63">
      <c r="A596">
        <v>3313</v>
      </c>
      <c r="B596" t="s">
        <v>3304</v>
      </c>
      <c r="D596" t="s">
        <v>66</v>
      </c>
      <c r="E596">
        <v>3348828</v>
      </c>
      <c r="F596">
        <v>3349703</v>
      </c>
      <c r="G596" t="s">
        <v>657</v>
      </c>
      <c r="H596">
        <v>292</v>
      </c>
      <c r="I596" t="s">
        <v>63</v>
      </c>
      <c r="J596">
        <v>5</v>
      </c>
      <c r="K596" t="str">
        <f>HYPERLINK("Gene3313-zp_tree_all.dnd", "Gene3313-tree")</f>
        <v>Gene3313-tree</v>
      </c>
      <c r="L596">
        <v>4</v>
      </c>
      <c r="M596">
        <v>1</v>
      </c>
      <c r="N596">
        <v>4</v>
      </c>
      <c r="O596">
        <v>1</v>
      </c>
      <c r="P596">
        <v>0.2</v>
      </c>
      <c r="Q596" t="s">
        <v>64</v>
      </c>
      <c r="R596" t="s">
        <v>65</v>
      </c>
      <c r="S596" t="s">
        <v>66</v>
      </c>
      <c r="T596" t="s">
        <v>66</v>
      </c>
      <c r="U596">
        <v>0</v>
      </c>
      <c r="V596">
        <v>0</v>
      </c>
      <c r="W596">
        <v>3</v>
      </c>
      <c r="X596">
        <v>0</v>
      </c>
      <c r="Y596">
        <v>0</v>
      </c>
      <c r="Z596">
        <v>0</v>
      </c>
      <c r="AA596">
        <v>0</v>
      </c>
      <c r="AB596">
        <v>2</v>
      </c>
      <c r="AC596">
        <v>0</v>
      </c>
      <c r="AD596">
        <v>0</v>
      </c>
      <c r="AE596">
        <v>0</v>
      </c>
      <c r="AF596">
        <v>0</v>
      </c>
      <c r="AG596">
        <v>1</v>
      </c>
      <c r="AH596">
        <v>0</v>
      </c>
      <c r="AI596">
        <v>5</v>
      </c>
      <c r="AJ596">
        <v>2</v>
      </c>
      <c r="AK596">
        <v>17</v>
      </c>
      <c r="AL596">
        <v>1</v>
      </c>
      <c r="AM596">
        <v>29</v>
      </c>
      <c r="AN596">
        <v>2</v>
      </c>
      <c r="AO596" t="s">
        <v>3306</v>
      </c>
      <c r="AP596" t="s">
        <v>3307</v>
      </c>
      <c r="AQ596">
        <v>4.1000000000000002E-2</v>
      </c>
      <c r="AR596" t="s">
        <v>69</v>
      </c>
      <c r="AS596">
        <v>46</v>
      </c>
      <c r="AT596">
        <v>3</v>
      </c>
      <c r="AU596">
        <v>2.877E-2</v>
      </c>
      <c r="AV596">
        <v>-5.1799999999999997E-3</v>
      </c>
      <c r="AW596">
        <v>0.12845000000000001</v>
      </c>
      <c r="AX596">
        <v>-2.4060000000000002E-2</v>
      </c>
      <c r="AY596">
        <v>2.3900000000000002E-3</v>
      </c>
      <c r="AZ596">
        <v>-4.2000000000000002E-4</v>
      </c>
      <c r="BA596">
        <v>1.8620000000000001E-2</v>
      </c>
      <c r="BB596">
        <v>1</v>
      </c>
      <c r="BC596" t="s">
        <v>70</v>
      </c>
      <c r="BD596">
        <v>0.88200000000000001</v>
      </c>
      <c r="BE596">
        <v>0.749</v>
      </c>
      <c r="BF596" t="s">
        <v>71</v>
      </c>
      <c r="BG596">
        <v>8.4832904884318702E-2</v>
      </c>
      <c r="BI596">
        <v>49</v>
      </c>
      <c r="BJ596">
        <v>1.8620000000000001E-2</v>
      </c>
      <c r="BK596">
        <v>8.4832904884318702E-2</v>
      </c>
    </row>
    <row r="597" spans="1:63">
      <c r="A597">
        <v>3315</v>
      </c>
      <c r="B597" t="s">
        <v>3308</v>
      </c>
      <c r="D597" t="s">
        <v>66</v>
      </c>
      <c r="E597">
        <v>3351113</v>
      </c>
      <c r="F597">
        <v>3352096</v>
      </c>
      <c r="G597" t="s">
        <v>3310</v>
      </c>
      <c r="H597">
        <v>328</v>
      </c>
      <c r="I597" t="s">
        <v>63</v>
      </c>
      <c r="J597">
        <v>5</v>
      </c>
      <c r="K597" t="str">
        <f>HYPERLINK("Gene3315-zp_tree_all.dnd", "Gene3315-tree")</f>
        <v>Gene3315-tree</v>
      </c>
      <c r="L597">
        <v>2</v>
      </c>
      <c r="M597">
        <v>3</v>
      </c>
      <c r="N597">
        <v>2</v>
      </c>
      <c r="O597">
        <v>3</v>
      </c>
      <c r="P597">
        <v>0.6</v>
      </c>
      <c r="Q597" t="s">
        <v>124</v>
      </c>
      <c r="R597" t="s">
        <v>86</v>
      </c>
      <c r="S597" t="s">
        <v>66</v>
      </c>
      <c r="T597" t="s">
        <v>66</v>
      </c>
      <c r="U597">
        <v>1</v>
      </c>
      <c r="V597">
        <v>2</v>
      </c>
      <c r="W597">
        <v>8</v>
      </c>
      <c r="X597">
        <v>0.2</v>
      </c>
      <c r="Y597">
        <v>0</v>
      </c>
      <c r="Z597">
        <v>0</v>
      </c>
      <c r="AA597">
        <v>0</v>
      </c>
      <c r="AB597">
        <v>2</v>
      </c>
      <c r="AC597">
        <v>0</v>
      </c>
      <c r="AD597">
        <v>2</v>
      </c>
      <c r="AE597">
        <v>0</v>
      </c>
      <c r="AF597">
        <v>2</v>
      </c>
      <c r="AG597">
        <v>6</v>
      </c>
      <c r="AH597">
        <v>0.25</v>
      </c>
      <c r="AI597">
        <v>5</v>
      </c>
      <c r="AJ597">
        <v>2</v>
      </c>
      <c r="AK597">
        <v>14</v>
      </c>
      <c r="AL597">
        <v>5</v>
      </c>
      <c r="AM597">
        <v>28</v>
      </c>
      <c r="AN597">
        <v>5</v>
      </c>
      <c r="AO597" t="s">
        <v>3311</v>
      </c>
      <c r="AP597" t="s">
        <v>3312</v>
      </c>
      <c r="AQ597">
        <v>1.0329999999999999</v>
      </c>
      <c r="AR597" t="s">
        <v>69</v>
      </c>
      <c r="AS597">
        <v>42</v>
      </c>
      <c r="AT597">
        <v>10</v>
      </c>
      <c r="AU597">
        <v>2.6630000000000001E-2</v>
      </c>
      <c r="AV597">
        <v>-4.4400000000000004E-3</v>
      </c>
      <c r="AW597">
        <v>0.10489</v>
      </c>
      <c r="AX597">
        <v>-1.949E-2</v>
      </c>
      <c r="AY597">
        <v>6.1000000000000004E-3</v>
      </c>
      <c r="AZ597">
        <v>-7.6000000000000004E-4</v>
      </c>
      <c r="BA597">
        <v>5.8110000000000002E-2</v>
      </c>
      <c r="BB597">
        <v>1</v>
      </c>
      <c r="BC597" t="s">
        <v>70</v>
      </c>
      <c r="BD597">
        <v>0.86</v>
      </c>
      <c r="BE597">
        <v>0.86</v>
      </c>
      <c r="BF597" t="s">
        <v>71</v>
      </c>
      <c r="BG597">
        <v>5.5045871559633003E-2</v>
      </c>
      <c r="BI597">
        <v>52</v>
      </c>
      <c r="BJ597">
        <v>5.8110000000000002E-2</v>
      </c>
      <c r="BK597">
        <v>5.5045871559633003E-2</v>
      </c>
    </row>
    <row r="598" spans="1:63">
      <c r="A598">
        <v>3322</v>
      </c>
      <c r="B598" t="s">
        <v>3313</v>
      </c>
      <c r="D598" t="s">
        <v>66</v>
      </c>
      <c r="E598">
        <v>3355596</v>
      </c>
      <c r="F598">
        <v>3356990</v>
      </c>
      <c r="G598" t="s">
        <v>3315</v>
      </c>
      <c r="H598">
        <v>465</v>
      </c>
      <c r="I598" t="s">
        <v>63</v>
      </c>
      <c r="J598">
        <v>5</v>
      </c>
      <c r="K598" t="str">
        <f>HYPERLINK("Gene3322-zp_tree_all.dnd", "Gene3322-tree")</f>
        <v>Gene3322-tree</v>
      </c>
      <c r="L598">
        <v>4</v>
      </c>
      <c r="M598">
        <v>1</v>
      </c>
      <c r="N598">
        <v>4</v>
      </c>
      <c r="O598">
        <v>1</v>
      </c>
      <c r="P598">
        <v>0.2</v>
      </c>
      <c r="Q598" t="s">
        <v>64</v>
      </c>
      <c r="R598" t="s">
        <v>65</v>
      </c>
      <c r="S598" t="s">
        <v>66</v>
      </c>
      <c r="T598" t="s">
        <v>66</v>
      </c>
      <c r="U598">
        <v>0</v>
      </c>
      <c r="V598">
        <v>0</v>
      </c>
      <c r="W598">
        <v>1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1</v>
      </c>
      <c r="AH598">
        <v>0</v>
      </c>
      <c r="AI598">
        <v>5</v>
      </c>
      <c r="AJ598">
        <v>2</v>
      </c>
      <c r="AK598">
        <v>30</v>
      </c>
      <c r="AL598">
        <v>1</v>
      </c>
      <c r="AM598">
        <v>16</v>
      </c>
      <c r="AN598">
        <v>0</v>
      </c>
      <c r="AO598" t="s">
        <v>3316</v>
      </c>
      <c r="AP598" t="s">
        <v>68</v>
      </c>
      <c r="AQ598">
        <v>0.53800000000000003</v>
      </c>
      <c r="AR598" t="s">
        <v>69</v>
      </c>
      <c r="AS598">
        <v>46</v>
      </c>
      <c r="AT598">
        <v>1</v>
      </c>
      <c r="AU598">
        <v>1.555E-2</v>
      </c>
      <c r="AV598">
        <v>-1.5499999999999999E-3</v>
      </c>
      <c r="AW598">
        <v>7.2929999999999995E-2</v>
      </c>
      <c r="AX598">
        <v>-7.4700000000000001E-3</v>
      </c>
      <c r="AY598">
        <v>3.6999999999999999E-4</v>
      </c>
      <c r="AZ598">
        <v>-1.3999999999999999E-4</v>
      </c>
      <c r="BA598">
        <v>5.0699999999999999E-3</v>
      </c>
      <c r="BB598">
        <v>1</v>
      </c>
      <c r="BC598" t="s">
        <v>70</v>
      </c>
      <c r="BD598">
        <v>-0.16400000000000001</v>
      </c>
      <c r="BE598">
        <v>-0.187</v>
      </c>
      <c r="BF598" t="s">
        <v>71</v>
      </c>
      <c r="BG598">
        <v>3.5714285714285698E-2</v>
      </c>
      <c r="BI598">
        <v>47</v>
      </c>
      <c r="BJ598">
        <v>5.0699999999999999E-3</v>
      </c>
      <c r="BK598">
        <v>3.5714285714285698E-2</v>
      </c>
    </row>
    <row r="599" spans="1:63">
      <c r="A599">
        <v>3323</v>
      </c>
      <c r="B599" t="s">
        <v>3317</v>
      </c>
      <c r="D599" t="s">
        <v>66</v>
      </c>
      <c r="E599">
        <v>3357014</v>
      </c>
      <c r="F599">
        <v>3357454</v>
      </c>
      <c r="G599" t="s">
        <v>3319</v>
      </c>
      <c r="H599">
        <v>147</v>
      </c>
      <c r="I599" t="s">
        <v>63</v>
      </c>
      <c r="J599">
        <v>5</v>
      </c>
      <c r="K599" t="str">
        <f>HYPERLINK("Gene3323-zp_tree_all.dnd", "Gene3323-tree")</f>
        <v>Gene3323-tree</v>
      </c>
      <c r="L599">
        <v>5</v>
      </c>
      <c r="M599">
        <v>0</v>
      </c>
      <c r="N599">
        <v>5</v>
      </c>
      <c r="O599">
        <v>0</v>
      </c>
      <c r="P599">
        <v>0</v>
      </c>
      <c r="Q599" t="s">
        <v>96</v>
      </c>
      <c r="R599" t="s">
        <v>66</v>
      </c>
      <c r="S599" t="s">
        <v>66</v>
      </c>
      <c r="T599" t="s">
        <v>66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3</v>
      </c>
      <c r="AJ599">
        <v>2</v>
      </c>
      <c r="AK599">
        <v>6</v>
      </c>
      <c r="AL599">
        <v>0</v>
      </c>
      <c r="AM599">
        <v>9</v>
      </c>
      <c r="AN599">
        <v>0</v>
      </c>
      <c r="AO599" t="s">
        <v>68</v>
      </c>
      <c r="AP599" t="s">
        <v>68</v>
      </c>
      <c r="AQ599">
        <v>0</v>
      </c>
      <c r="AR599" t="s">
        <v>69</v>
      </c>
      <c r="AS599">
        <v>15</v>
      </c>
      <c r="AT599">
        <v>0</v>
      </c>
      <c r="AU599">
        <v>1.7690000000000001E-2</v>
      </c>
      <c r="AV599">
        <v>-2.8600000000000001E-3</v>
      </c>
      <c r="AW599">
        <v>9.0020000000000003E-2</v>
      </c>
      <c r="AX599">
        <v>-1.5259999999999999E-2</v>
      </c>
      <c r="AY599">
        <v>0</v>
      </c>
      <c r="AZ599">
        <v>0</v>
      </c>
      <c r="BA599">
        <v>0</v>
      </c>
      <c r="BB599">
        <v>1</v>
      </c>
      <c r="BC599" t="s">
        <v>70</v>
      </c>
      <c r="BD599">
        <v>0.60899999999999999</v>
      </c>
      <c r="BE599">
        <v>0.60899999999999999</v>
      </c>
      <c r="BF599" t="s">
        <v>71</v>
      </c>
      <c r="BG599">
        <v>0.15183246073298401</v>
      </c>
      <c r="BI599">
        <v>15</v>
      </c>
      <c r="BJ599">
        <v>0</v>
      </c>
      <c r="BK599">
        <v>0.15183246073298401</v>
      </c>
    </row>
    <row r="600" spans="1:63">
      <c r="A600">
        <v>3324</v>
      </c>
      <c r="B600" t="s">
        <v>3320</v>
      </c>
      <c r="D600" t="s">
        <v>66</v>
      </c>
      <c r="E600">
        <v>3357447</v>
      </c>
      <c r="F600">
        <v>3358664</v>
      </c>
      <c r="G600" t="s">
        <v>3322</v>
      </c>
      <c r="H600">
        <v>406</v>
      </c>
      <c r="I600" t="s">
        <v>63</v>
      </c>
      <c r="J600">
        <v>5</v>
      </c>
      <c r="K600" t="str">
        <f>HYPERLINK("Gene3324-zp_tree_all.dnd", "Gene3324-tree")</f>
        <v>Gene3324-tree</v>
      </c>
      <c r="L600">
        <v>2</v>
      </c>
      <c r="M600">
        <v>3</v>
      </c>
      <c r="N600">
        <v>2</v>
      </c>
      <c r="O600">
        <v>3</v>
      </c>
      <c r="P600">
        <v>0.6</v>
      </c>
      <c r="Q600" t="s">
        <v>124</v>
      </c>
      <c r="R600" t="s">
        <v>86</v>
      </c>
      <c r="S600" t="s">
        <v>66</v>
      </c>
      <c r="T600" t="s">
        <v>66</v>
      </c>
      <c r="U600">
        <v>0</v>
      </c>
      <c r="V600">
        <v>0</v>
      </c>
      <c r="W600">
        <v>8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8</v>
      </c>
      <c r="AH600">
        <v>0</v>
      </c>
      <c r="AI600">
        <v>5</v>
      </c>
      <c r="AJ600">
        <v>2</v>
      </c>
      <c r="AK600">
        <v>27</v>
      </c>
      <c r="AL600">
        <v>4</v>
      </c>
      <c r="AM600">
        <v>26</v>
      </c>
      <c r="AN600">
        <v>4</v>
      </c>
      <c r="AO600" t="s">
        <v>3323</v>
      </c>
      <c r="AP600" t="s">
        <v>3324</v>
      </c>
      <c r="AQ600">
        <v>4.0000000000000001E-3</v>
      </c>
      <c r="AR600" t="s">
        <v>69</v>
      </c>
      <c r="AS600">
        <v>53</v>
      </c>
      <c r="AT600">
        <v>8</v>
      </c>
      <c r="AU600">
        <v>2.479E-2</v>
      </c>
      <c r="AV600">
        <v>-4.0699999999999998E-3</v>
      </c>
      <c r="AW600">
        <v>9.9559999999999996E-2</v>
      </c>
      <c r="AX600">
        <v>-1.67E-2</v>
      </c>
      <c r="AY600">
        <v>4.3099999999999996E-3</v>
      </c>
      <c r="AZ600">
        <v>-8.1999999999999998E-4</v>
      </c>
      <c r="BA600">
        <v>4.3279999999999999E-2</v>
      </c>
      <c r="BB600">
        <v>1</v>
      </c>
      <c r="BC600" t="s">
        <v>70</v>
      </c>
      <c r="BD600">
        <v>0.36799999999999999</v>
      </c>
      <c r="BE600">
        <v>0.36799999999999999</v>
      </c>
      <c r="BF600" t="s">
        <v>71</v>
      </c>
      <c r="BG600">
        <v>7.3253833049403694E-2</v>
      </c>
      <c r="BI600">
        <v>61</v>
      </c>
      <c r="BJ600">
        <v>4.3279999999999999E-2</v>
      </c>
      <c r="BK600">
        <v>7.3253833049403694E-2</v>
      </c>
    </row>
    <row r="601" spans="1:63">
      <c r="A601">
        <v>3325</v>
      </c>
      <c r="B601" t="s">
        <v>3325</v>
      </c>
      <c r="D601" t="s">
        <v>66</v>
      </c>
      <c r="E601">
        <v>3358667</v>
      </c>
      <c r="F601">
        <v>3359977</v>
      </c>
      <c r="G601" t="s">
        <v>3327</v>
      </c>
      <c r="H601">
        <v>437</v>
      </c>
      <c r="I601" t="s">
        <v>63</v>
      </c>
      <c r="J601">
        <v>5</v>
      </c>
      <c r="K601" t="str">
        <f>HYPERLINK("Gene3325-zp_tree_all.dnd", "Gene3325-tree")</f>
        <v>Gene3325-tree</v>
      </c>
      <c r="L601">
        <v>2</v>
      </c>
      <c r="M601">
        <v>3</v>
      </c>
      <c r="N601">
        <v>2</v>
      </c>
      <c r="O601">
        <v>3</v>
      </c>
      <c r="P601">
        <v>0.6</v>
      </c>
      <c r="Q601" t="s">
        <v>124</v>
      </c>
      <c r="R601" t="s">
        <v>86</v>
      </c>
      <c r="S601" t="s">
        <v>66</v>
      </c>
      <c r="T601" t="s">
        <v>66</v>
      </c>
      <c r="U601">
        <v>2</v>
      </c>
      <c r="V601">
        <v>4</v>
      </c>
      <c r="W601">
        <v>3</v>
      </c>
      <c r="X601">
        <v>0.57142999999999999</v>
      </c>
      <c r="Y601">
        <v>0</v>
      </c>
      <c r="Z601">
        <v>0</v>
      </c>
      <c r="AA601">
        <v>0</v>
      </c>
      <c r="AB601">
        <v>3</v>
      </c>
      <c r="AC601">
        <v>0</v>
      </c>
      <c r="AD601">
        <v>0</v>
      </c>
      <c r="AE601">
        <v>2</v>
      </c>
      <c r="AF601">
        <v>2</v>
      </c>
      <c r="AG601">
        <v>2</v>
      </c>
      <c r="AH601">
        <v>0.5</v>
      </c>
      <c r="AI601">
        <v>5</v>
      </c>
      <c r="AJ601">
        <v>2</v>
      </c>
      <c r="AK601">
        <v>31</v>
      </c>
      <c r="AL601">
        <v>4</v>
      </c>
      <c r="AM601">
        <v>28</v>
      </c>
      <c r="AN601">
        <v>3</v>
      </c>
      <c r="AO601" t="s">
        <v>3328</v>
      </c>
      <c r="AP601" t="s">
        <v>3329</v>
      </c>
      <c r="AQ601">
        <v>0.17199999999999999</v>
      </c>
      <c r="AR601" t="s">
        <v>69</v>
      </c>
      <c r="AS601">
        <v>59</v>
      </c>
      <c r="AT601">
        <v>7</v>
      </c>
      <c r="AU601">
        <v>2.41E-2</v>
      </c>
      <c r="AV601">
        <v>-3.81E-3</v>
      </c>
      <c r="AW601">
        <v>0.10228</v>
      </c>
      <c r="AX601">
        <v>-1.7399999999999999E-2</v>
      </c>
      <c r="AY601">
        <v>2.8900000000000002E-3</v>
      </c>
      <c r="AZ601">
        <v>-3.6000000000000002E-4</v>
      </c>
      <c r="BA601">
        <v>2.827E-2</v>
      </c>
      <c r="BB601">
        <v>1</v>
      </c>
      <c r="BC601" t="s">
        <v>70</v>
      </c>
      <c r="BD601">
        <v>0.46800000000000003</v>
      </c>
      <c r="BE601">
        <v>0.214</v>
      </c>
      <c r="BF601" t="s">
        <v>71</v>
      </c>
      <c r="BG601">
        <v>3.6303630363036299E-2</v>
      </c>
      <c r="BI601">
        <v>66</v>
      </c>
      <c r="BJ601">
        <v>2.827E-2</v>
      </c>
      <c r="BK601">
        <v>3.6303630363036299E-2</v>
      </c>
    </row>
    <row r="602" spans="1:63">
      <c r="A602">
        <v>3326</v>
      </c>
      <c r="B602" t="s">
        <v>3330</v>
      </c>
      <c r="D602" t="s">
        <v>66</v>
      </c>
      <c r="E602">
        <v>3359998</v>
      </c>
      <c r="F602">
        <v>3360780</v>
      </c>
      <c r="G602" t="s">
        <v>560</v>
      </c>
      <c r="H602">
        <v>261</v>
      </c>
      <c r="I602" t="s">
        <v>63</v>
      </c>
      <c r="J602">
        <v>5</v>
      </c>
      <c r="K602" t="str">
        <f>HYPERLINK("Gene3326-zp_tree_all.dnd", "Gene3326-tree")</f>
        <v>Gene3326-tree</v>
      </c>
      <c r="L602">
        <v>3</v>
      </c>
      <c r="M602">
        <v>2</v>
      </c>
      <c r="N602">
        <v>3</v>
      </c>
      <c r="O602">
        <v>2</v>
      </c>
      <c r="P602">
        <v>0.4</v>
      </c>
      <c r="Q602" t="s">
        <v>86</v>
      </c>
      <c r="R602" t="s">
        <v>124</v>
      </c>
      <c r="S602" t="s">
        <v>66</v>
      </c>
      <c r="T602" t="s">
        <v>66</v>
      </c>
      <c r="U602">
        <v>0</v>
      </c>
      <c r="V602">
        <v>0</v>
      </c>
      <c r="W602">
        <v>2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2</v>
      </c>
      <c r="AH602">
        <v>0</v>
      </c>
      <c r="AI602">
        <v>4</v>
      </c>
      <c r="AJ602">
        <v>2</v>
      </c>
      <c r="AK602">
        <v>15</v>
      </c>
      <c r="AL602">
        <v>2</v>
      </c>
      <c r="AM602">
        <v>16</v>
      </c>
      <c r="AN602">
        <v>0</v>
      </c>
      <c r="AO602" t="s">
        <v>3332</v>
      </c>
      <c r="AP602" t="s">
        <v>68</v>
      </c>
      <c r="AQ602">
        <v>1.1910000000000001</v>
      </c>
      <c r="AR602" t="s">
        <v>69</v>
      </c>
      <c r="AS602">
        <v>31</v>
      </c>
      <c r="AT602">
        <v>2</v>
      </c>
      <c r="AU602">
        <v>1.967E-2</v>
      </c>
      <c r="AV602">
        <v>-2.99E-3</v>
      </c>
      <c r="AW602">
        <v>9.3119999999999994E-2</v>
      </c>
      <c r="AX602">
        <v>-1.5440000000000001E-2</v>
      </c>
      <c r="AY602">
        <v>1.31E-3</v>
      </c>
      <c r="AZ602">
        <v>-3.1E-4</v>
      </c>
      <c r="BA602">
        <v>1.4019999999999999E-2</v>
      </c>
      <c r="BB602">
        <v>1</v>
      </c>
      <c r="BC602" t="s">
        <v>70</v>
      </c>
      <c r="BD602">
        <v>0.51900000000000002</v>
      </c>
      <c r="BE602">
        <v>0</v>
      </c>
      <c r="BF602" t="s">
        <v>71</v>
      </c>
      <c r="BG602">
        <v>7.5630252100840303E-2</v>
      </c>
      <c r="BI602">
        <v>33</v>
      </c>
      <c r="BJ602">
        <v>1.4019999999999999E-2</v>
      </c>
      <c r="BK602">
        <v>7.5630252100840303E-2</v>
      </c>
    </row>
    <row r="603" spans="1:63">
      <c r="A603">
        <v>3329</v>
      </c>
      <c r="B603" t="s">
        <v>3335</v>
      </c>
      <c r="D603" t="s">
        <v>66</v>
      </c>
      <c r="E603">
        <v>3361770</v>
      </c>
      <c r="F603">
        <v>3362591</v>
      </c>
      <c r="G603" t="s">
        <v>3337</v>
      </c>
      <c r="H603">
        <v>274</v>
      </c>
      <c r="I603" t="s">
        <v>63</v>
      </c>
      <c r="J603">
        <v>5</v>
      </c>
      <c r="K603" t="str">
        <f>HYPERLINK("Gene3329-zp_tree_all.dnd", "Gene3329-tree")</f>
        <v>Gene3329-tree</v>
      </c>
      <c r="L603">
        <v>4</v>
      </c>
      <c r="M603">
        <v>1</v>
      </c>
      <c r="N603">
        <v>4</v>
      </c>
      <c r="O603">
        <v>1</v>
      </c>
      <c r="P603">
        <v>0.2</v>
      </c>
      <c r="Q603" t="s">
        <v>64</v>
      </c>
      <c r="R603" t="s">
        <v>65</v>
      </c>
      <c r="S603" t="s">
        <v>66</v>
      </c>
      <c r="T603" t="s">
        <v>66</v>
      </c>
      <c r="U603">
        <v>0</v>
      </c>
      <c r="V603">
        <v>0</v>
      </c>
      <c r="W603">
        <v>5</v>
      </c>
      <c r="X603">
        <v>0</v>
      </c>
      <c r="Y603">
        <v>0</v>
      </c>
      <c r="Z603">
        <v>0</v>
      </c>
      <c r="AA603">
        <v>0</v>
      </c>
      <c r="AB603">
        <v>4</v>
      </c>
      <c r="AC603">
        <v>0</v>
      </c>
      <c r="AD603">
        <v>0</v>
      </c>
      <c r="AE603">
        <v>0</v>
      </c>
      <c r="AF603">
        <v>0</v>
      </c>
      <c r="AG603">
        <v>1</v>
      </c>
      <c r="AH603">
        <v>0</v>
      </c>
      <c r="AI603">
        <v>5</v>
      </c>
      <c r="AJ603">
        <v>2</v>
      </c>
      <c r="AK603">
        <v>13</v>
      </c>
      <c r="AL603">
        <v>1</v>
      </c>
      <c r="AM603">
        <v>19</v>
      </c>
      <c r="AN603">
        <v>4</v>
      </c>
      <c r="AO603" t="s">
        <v>3338</v>
      </c>
      <c r="AP603" t="s">
        <v>3339</v>
      </c>
      <c r="AQ603">
        <v>0.41899999999999998</v>
      </c>
      <c r="AR603" t="s">
        <v>69</v>
      </c>
      <c r="AS603">
        <v>32</v>
      </c>
      <c r="AT603">
        <v>5</v>
      </c>
      <c r="AU603">
        <v>2.2630000000000001E-2</v>
      </c>
      <c r="AV603">
        <v>-4.1599999999999996E-3</v>
      </c>
      <c r="AW603">
        <v>9.2810000000000004E-2</v>
      </c>
      <c r="AX603">
        <v>-1.678E-2</v>
      </c>
      <c r="AY603">
        <v>4.4099999999999999E-3</v>
      </c>
      <c r="AZ603">
        <v>-1.06E-3</v>
      </c>
      <c r="BA603">
        <v>4.7550000000000002E-2</v>
      </c>
      <c r="BB603">
        <v>1</v>
      </c>
      <c r="BC603" t="s">
        <v>70</v>
      </c>
      <c r="BD603">
        <v>1.0469999999999999</v>
      </c>
      <c r="BE603">
        <v>0.86399999999999999</v>
      </c>
      <c r="BF603" t="s">
        <v>71</v>
      </c>
      <c r="BG603">
        <v>2.16718266253869E-2</v>
      </c>
      <c r="BI603">
        <v>37</v>
      </c>
      <c r="BJ603">
        <v>4.7550000000000002E-2</v>
      </c>
      <c r="BK603">
        <v>2.16718266253869E-2</v>
      </c>
    </row>
    <row r="604" spans="1:63">
      <c r="A604">
        <v>3331</v>
      </c>
      <c r="B604" t="s">
        <v>3340</v>
      </c>
      <c r="D604" t="s">
        <v>66</v>
      </c>
      <c r="E604">
        <v>3363269</v>
      </c>
      <c r="F604">
        <v>3364291</v>
      </c>
      <c r="G604" t="s">
        <v>3342</v>
      </c>
      <c r="H604">
        <v>341</v>
      </c>
      <c r="I604" t="s">
        <v>63</v>
      </c>
      <c r="J604">
        <v>5</v>
      </c>
      <c r="K604" t="str">
        <f>HYPERLINK("Gene3331-zp_tree_all.dnd", "Gene3331-tree")</f>
        <v>Gene3331-tree</v>
      </c>
      <c r="L604">
        <v>4</v>
      </c>
      <c r="M604">
        <v>1</v>
      </c>
      <c r="N604">
        <v>4</v>
      </c>
      <c r="O604">
        <v>1</v>
      </c>
      <c r="P604">
        <v>0.2</v>
      </c>
      <c r="Q604" t="s">
        <v>64</v>
      </c>
      <c r="R604" t="s">
        <v>65</v>
      </c>
      <c r="S604" t="s">
        <v>66</v>
      </c>
      <c r="T604" t="s">
        <v>66</v>
      </c>
      <c r="U604">
        <v>1</v>
      </c>
      <c r="V604">
        <v>2</v>
      </c>
      <c r="W604">
        <v>5</v>
      </c>
      <c r="X604">
        <v>0.28571000000000002</v>
      </c>
      <c r="Y604">
        <v>0</v>
      </c>
      <c r="Z604">
        <v>0</v>
      </c>
      <c r="AA604">
        <v>0</v>
      </c>
      <c r="AB604">
        <v>6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5</v>
      </c>
      <c r="AJ604">
        <v>2</v>
      </c>
      <c r="AK604">
        <v>27</v>
      </c>
      <c r="AL604">
        <v>1</v>
      </c>
      <c r="AM604">
        <v>33</v>
      </c>
      <c r="AN604">
        <v>7</v>
      </c>
      <c r="AO604" t="s">
        <v>3343</v>
      </c>
      <c r="AP604" t="s">
        <v>3344</v>
      </c>
      <c r="AQ604">
        <v>0.88700000000000001</v>
      </c>
      <c r="AR604" t="s">
        <v>69</v>
      </c>
      <c r="AS604">
        <v>60</v>
      </c>
      <c r="AT604">
        <v>8</v>
      </c>
      <c r="AU604">
        <v>3.236E-2</v>
      </c>
      <c r="AV604">
        <v>-5.7499999999999999E-3</v>
      </c>
      <c r="AW604">
        <v>0.14025000000000001</v>
      </c>
      <c r="AX604">
        <v>-2.5180000000000001E-2</v>
      </c>
      <c r="AY604">
        <v>5.4599999999999996E-3</v>
      </c>
      <c r="AZ604">
        <v>-1.1800000000000001E-3</v>
      </c>
      <c r="BA604">
        <v>3.8949999999999999E-2</v>
      </c>
      <c r="BB604">
        <v>1</v>
      </c>
      <c r="BC604" t="s">
        <v>70</v>
      </c>
      <c r="BD604">
        <v>1.129</v>
      </c>
      <c r="BE604">
        <v>0.63</v>
      </c>
      <c r="BF604" t="s">
        <v>71</v>
      </c>
      <c r="BG604">
        <v>0.136563876651982</v>
      </c>
      <c r="BI604">
        <v>68</v>
      </c>
      <c r="BJ604">
        <v>3.8949999999999999E-2</v>
      </c>
      <c r="BK604">
        <v>0.136563876651982</v>
      </c>
    </row>
    <row r="605" spans="1:63">
      <c r="A605">
        <v>3332</v>
      </c>
      <c r="B605" t="s">
        <v>3345</v>
      </c>
      <c r="D605" t="s">
        <v>66</v>
      </c>
      <c r="E605">
        <v>3364621</v>
      </c>
      <c r="F605">
        <v>3364962</v>
      </c>
      <c r="G605" t="s">
        <v>74</v>
      </c>
      <c r="H605">
        <v>114</v>
      </c>
      <c r="I605" t="s">
        <v>85</v>
      </c>
      <c r="J605">
        <v>4</v>
      </c>
      <c r="K605" t="str">
        <f>HYPERLINK("Gene3332-zp_tree_all.dnd", "Gene3332-tree")</f>
        <v>Gene3332-tree</v>
      </c>
      <c r="L605">
        <v>3</v>
      </c>
      <c r="M605">
        <v>1</v>
      </c>
      <c r="N605">
        <v>3</v>
      </c>
      <c r="O605">
        <v>1</v>
      </c>
      <c r="P605">
        <v>0.25</v>
      </c>
      <c r="Q605" t="s">
        <v>86</v>
      </c>
      <c r="R605" t="s">
        <v>65</v>
      </c>
      <c r="S605" t="s">
        <v>66</v>
      </c>
      <c r="T605" t="s">
        <v>66</v>
      </c>
      <c r="U605">
        <v>0</v>
      </c>
      <c r="V605">
        <v>0</v>
      </c>
      <c r="W605">
        <v>3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3</v>
      </c>
      <c r="AH605">
        <v>0</v>
      </c>
      <c r="AI605">
        <v>3</v>
      </c>
      <c r="AJ605">
        <v>1</v>
      </c>
      <c r="AK605">
        <v>14</v>
      </c>
      <c r="AL605">
        <v>3</v>
      </c>
      <c r="AM605">
        <v>1</v>
      </c>
      <c r="AN605">
        <v>0</v>
      </c>
      <c r="AO605" t="s">
        <v>3347</v>
      </c>
      <c r="AP605" t="s">
        <v>68</v>
      </c>
      <c r="AQ605">
        <v>0.63400000000000001</v>
      </c>
      <c r="AR605" t="s">
        <v>69</v>
      </c>
      <c r="AS605">
        <v>15</v>
      </c>
      <c r="AT605">
        <v>3</v>
      </c>
      <c r="AU605">
        <v>2.6800000000000001E-2</v>
      </c>
      <c r="AV605">
        <v>-7.1399999999999996E-3</v>
      </c>
      <c r="AW605">
        <v>0.11181000000000001</v>
      </c>
      <c r="AX605">
        <v>-2.8389999999999999E-2</v>
      </c>
      <c r="AY605">
        <v>5.6800000000000002E-3</v>
      </c>
      <c r="AZ605">
        <v>-2.32E-3</v>
      </c>
      <c r="BA605">
        <v>5.0790000000000002E-2</v>
      </c>
      <c r="BB605">
        <v>1</v>
      </c>
      <c r="BC605" t="s">
        <v>70</v>
      </c>
      <c r="BD605">
        <v>-0.67800000000000005</v>
      </c>
      <c r="BE605">
        <v>-0.67800000000000005</v>
      </c>
      <c r="BF605" t="s">
        <v>71</v>
      </c>
      <c r="BG605">
        <v>-2.8169014084507001E-2</v>
      </c>
      <c r="BI605">
        <v>18</v>
      </c>
      <c r="BJ605">
        <v>5.0790000000000002E-2</v>
      </c>
      <c r="BK605">
        <v>-2.8169014084507001E-2</v>
      </c>
    </row>
    <row r="606" spans="1:63">
      <c r="A606">
        <v>3336</v>
      </c>
      <c r="B606" t="s">
        <v>3352</v>
      </c>
      <c r="D606" t="s">
        <v>66</v>
      </c>
      <c r="E606">
        <v>3366126</v>
      </c>
      <c r="F606">
        <v>3366506</v>
      </c>
      <c r="G606" t="s">
        <v>3354</v>
      </c>
      <c r="H606">
        <v>127</v>
      </c>
      <c r="I606" t="s">
        <v>63</v>
      </c>
      <c r="J606">
        <v>5</v>
      </c>
      <c r="K606" t="str">
        <f>HYPERLINK("Gene3336-zp_tree_all.dnd", "Gene3336-tree")</f>
        <v>Gene3336-tree</v>
      </c>
      <c r="L606">
        <v>5</v>
      </c>
      <c r="M606">
        <v>0</v>
      </c>
      <c r="N606">
        <v>4</v>
      </c>
      <c r="O606">
        <v>0</v>
      </c>
      <c r="P606">
        <v>0</v>
      </c>
      <c r="Q606" t="s">
        <v>135</v>
      </c>
      <c r="R606" t="s">
        <v>66</v>
      </c>
      <c r="S606" t="s">
        <v>66</v>
      </c>
      <c r="T606" t="s">
        <v>66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3</v>
      </c>
      <c r="AJ606">
        <v>1</v>
      </c>
      <c r="AK606">
        <v>8</v>
      </c>
      <c r="AL606">
        <v>0</v>
      </c>
      <c r="AM606">
        <v>6</v>
      </c>
      <c r="AN606">
        <v>0</v>
      </c>
      <c r="AO606" t="s">
        <v>68</v>
      </c>
      <c r="AP606" t="s">
        <v>68</v>
      </c>
      <c r="AQ606">
        <v>0</v>
      </c>
      <c r="AR606" t="s">
        <v>69</v>
      </c>
      <c r="AS606">
        <v>14</v>
      </c>
      <c r="AT606">
        <v>0</v>
      </c>
      <c r="AU606">
        <v>2.1000000000000001E-2</v>
      </c>
      <c r="AV606">
        <v>-3.5000000000000001E-3</v>
      </c>
      <c r="AW606">
        <v>0.10359</v>
      </c>
      <c r="AX606">
        <v>-1.7940000000000001E-2</v>
      </c>
      <c r="AY606">
        <v>0</v>
      </c>
      <c r="AZ606">
        <v>0</v>
      </c>
      <c r="BA606">
        <v>0</v>
      </c>
      <c r="BB606">
        <v>1</v>
      </c>
      <c r="BC606" t="s">
        <v>70</v>
      </c>
      <c r="BD606">
        <v>8.6999999999999994E-2</v>
      </c>
      <c r="BE606">
        <v>8.6999999999999994E-2</v>
      </c>
      <c r="BF606" t="s">
        <v>71</v>
      </c>
      <c r="BG606">
        <v>0.144508670520231</v>
      </c>
      <c r="BI606">
        <v>14</v>
      </c>
      <c r="BJ606">
        <v>0</v>
      </c>
      <c r="BK606">
        <v>0.144508670520231</v>
      </c>
    </row>
    <row r="607" spans="1:63">
      <c r="A607">
        <v>3337</v>
      </c>
      <c r="B607" t="s">
        <v>3355</v>
      </c>
      <c r="D607" t="s">
        <v>66</v>
      </c>
      <c r="E607">
        <v>3366576</v>
      </c>
      <c r="F607">
        <v>3366929</v>
      </c>
      <c r="G607" t="s">
        <v>74</v>
      </c>
      <c r="H607">
        <v>118</v>
      </c>
      <c r="I607" t="s">
        <v>63</v>
      </c>
      <c r="J607">
        <v>5</v>
      </c>
      <c r="K607" t="str">
        <f>HYPERLINK("Gene3337-zp_tree_all.dnd", "Gene3337-tree")</f>
        <v>Gene3337-tree</v>
      </c>
      <c r="L607">
        <v>5</v>
      </c>
      <c r="M607">
        <v>0</v>
      </c>
      <c r="N607">
        <v>5</v>
      </c>
      <c r="O607">
        <v>0</v>
      </c>
      <c r="P607">
        <v>0</v>
      </c>
      <c r="Q607" t="s">
        <v>96</v>
      </c>
      <c r="R607" t="s">
        <v>66</v>
      </c>
      <c r="S607" t="s">
        <v>66</v>
      </c>
      <c r="T607" t="s">
        <v>66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4</v>
      </c>
      <c r="AJ607">
        <v>2</v>
      </c>
      <c r="AK607">
        <v>6</v>
      </c>
      <c r="AL607">
        <v>0</v>
      </c>
      <c r="AM607">
        <v>12</v>
      </c>
      <c r="AN607">
        <v>0</v>
      </c>
      <c r="AO607" t="s">
        <v>68</v>
      </c>
      <c r="AP607" t="s">
        <v>68</v>
      </c>
      <c r="AQ607">
        <v>0</v>
      </c>
      <c r="AR607" t="s">
        <v>69</v>
      </c>
      <c r="AS607">
        <v>18</v>
      </c>
      <c r="AT607">
        <v>0</v>
      </c>
      <c r="AU607">
        <v>2.7119999999999998E-2</v>
      </c>
      <c r="AV607">
        <v>-5.0899999999999999E-3</v>
      </c>
      <c r="AW607">
        <v>0.15190000000000001</v>
      </c>
      <c r="AX607">
        <v>-2.981E-2</v>
      </c>
      <c r="AY607">
        <v>0</v>
      </c>
      <c r="AZ607">
        <v>0</v>
      </c>
      <c r="BA607">
        <v>0</v>
      </c>
      <c r="BB607">
        <v>1</v>
      </c>
      <c r="BC607" t="s">
        <v>70</v>
      </c>
      <c r="BD607">
        <v>0.81799999999999995</v>
      </c>
      <c r="BE607">
        <v>0.81799999999999995</v>
      </c>
      <c r="BF607" t="s">
        <v>71</v>
      </c>
      <c r="BG607">
        <v>0.11111111111111099</v>
      </c>
      <c r="BI607">
        <v>18</v>
      </c>
      <c r="BJ607">
        <v>0</v>
      </c>
      <c r="BK607">
        <v>0.11111111111111099</v>
      </c>
    </row>
    <row r="608" spans="1:63">
      <c r="A608">
        <v>3351</v>
      </c>
      <c r="B608" t="s">
        <v>3367</v>
      </c>
      <c r="D608" t="s">
        <v>66</v>
      </c>
      <c r="E608">
        <v>3378803</v>
      </c>
      <c r="F608">
        <v>3379087</v>
      </c>
      <c r="G608" t="s">
        <v>74</v>
      </c>
      <c r="H608">
        <v>95</v>
      </c>
      <c r="I608" t="s">
        <v>63</v>
      </c>
      <c r="J608">
        <v>5</v>
      </c>
      <c r="K608" t="str">
        <f>HYPERLINK("Gene3351-zp_tree_all.dnd", "Gene3351-tree")</f>
        <v>Gene3351-tree</v>
      </c>
      <c r="L608">
        <v>4</v>
      </c>
      <c r="M608">
        <v>1</v>
      </c>
      <c r="N608">
        <v>3</v>
      </c>
      <c r="O608">
        <v>1</v>
      </c>
      <c r="P608">
        <v>0.25</v>
      </c>
      <c r="Q608" t="s">
        <v>112</v>
      </c>
      <c r="R608" t="s">
        <v>65</v>
      </c>
      <c r="S608" t="s">
        <v>66</v>
      </c>
      <c r="T608" t="s">
        <v>66</v>
      </c>
      <c r="U608">
        <v>0</v>
      </c>
      <c r="V608">
        <v>0</v>
      </c>
      <c r="W608">
        <v>4</v>
      </c>
      <c r="X608">
        <v>0</v>
      </c>
      <c r="Y608">
        <v>0</v>
      </c>
      <c r="Z608">
        <v>0</v>
      </c>
      <c r="AA608">
        <v>0</v>
      </c>
      <c r="AB608">
        <v>3</v>
      </c>
      <c r="AC608">
        <v>0</v>
      </c>
      <c r="AD608">
        <v>0</v>
      </c>
      <c r="AE608">
        <v>0</v>
      </c>
      <c r="AF608">
        <v>0</v>
      </c>
      <c r="AG608">
        <v>1</v>
      </c>
      <c r="AH608">
        <v>0</v>
      </c>
      <c r="AI608">
        <v>4</v>
      </c>
      <c r="AJ608">
        <v>1</v>
      </c>
      <c r="AK608">
        <v>8</v>
      </c>
      <c r="AL608">
        <v>1</v>
      </c>
      <c r="AM608">
        <v>3</v>
      </c>
      <c r="AN608">
        <v>3</v>
      </c>
      <c r="AO608" t="s">
        <v>3369</v>
      </c>
      <c r="AP608" t="s">
        <v>3370</v>
      </c>
      <c r="AQ608">
        <v>4.4569999999999999</v>
      </c>
      <c r="AR608" t="s">
        <v>69</v>
      </c>
      <c r="AS608">
        <v>11</v>
      </c>
      <c r="AT608">
        <v>4</v>
      </c>
      <c r="AU608">
        <v>2.9870000000000001E-2</v>
      </c>
      <c r="AV608">
        <v>-4.4400000000000004E-3</v>
      </c>
      <c r="AW608">
        <v>0.11053</v>
      </c>
      <c r="AX608">
        <v>-1.29E-2</v>
      </c>
      <c r="AY608">
        <v>1.1379999999999999E-2</v>
      </c>
      <c r="AZ608">
        <v>-2.7899999999999999E-3</v>
      </c>
      <c r="BA608">
        <v>0.10298</v>
      </c>
      <c r="BB608">
        <v>1</v>
      </c>
      <c r="BC608" t="s">
        <v>70</v>
      </c>
      <c r="BD608">
        <v>0.73799999999999999</v>
      </c>
      <c r="BE608">
        <v>0.30399999999999999</v>
      </c>
      <c r="BF608" t="s">
        <v>71</v>
      </c>
      <c r="BG608">
        <v>0.14049586776859499</v>
      </c>
      <c r="BI608">
        <v>15</v>
      </c>
      <c r="BJ608">
        <v>0.10298</v>
      </c>
      <c r="BK608">
        <v>0.14049586776859499</v>
      </c>
    </row>
    <row r="609" spans="1:63">
      <c r="A609">
        <v>3352</v>
      </c>
      <c r="B609" t="s">
        <v>3371</v>
      </c>
      <c r="D609" t="s">
        <v>66</v>
      </c>
      <c r="E609">
        <v>3379115</v>
      </c>
      <c r="F609">
        <v>3379939</v>
      </c>
      <c r="G609" t="s">
        <v>3373</v>
      </c>
      <c r="H609">
        <v>275</v>
      </c>
      <c r="I609" t="s">
        <v>63</v>
      </c>
      <c r="J609">
        <v>5</v>
      </c>
      <c r="K609" t="str">
        <f>HYPERLINK("Gene3352-zp_tree_all.dnd", "Gene3352-tree")</f>
        <v>Gene3352-tree</v>
      </c>
      <c r="L609">
        <v>3</v>
      </c>
      <c r="M609">
        <v>2</v>
      </c>
      <c r="N609">
        <v>3</v>
      </c>
      <c r="O609">
        <v>2</v>
      </c>
      <c r="P609">
        <v>0.4</v>
      </c>
      <c r="Q609" t="s">
        <v>86</v>
      </c>
      <c r="R609" t="s">
        <v>124</v>
      </c>
      <c r="S609" t="s">
        <v>66</v>
      </c>
      <c r="T609" t="s">
        <v>66</v>
      </c>
      <c r="U609">
        <v>0</v>
      </c>
      <c r="V609">
        <v>0</v>
      </c>
      <c r="W609">
        <v>3</v>
      </c>
      <c r="X609">
        <v>0</v>
      </c>
      <c r="Y609">
        <v>0</v>
      </c>
      <c r="Z609">
        <v>0</v>
      </c>
      <c r="AA609">
        <v>0</v>
      </c>
      <c r="AB609">
        <v>1</v>
      </c>
      <c r="AC609">
        <v>0</v>
      </c>
      <c r="AD609">
        <v>0</v>
      </c>
      <c r="AE609">
        <v>0</v>
      </c>
      <c r="AF609">
        <v>0</v>
      </c>
      <c r="AG609">
        <v>2</v>
      </c>
      <c r="AH609">
        <v>0</v>
      </c>
      <c r="AI609">
        <v>4</v>
      </c>
      <c r="AJ609">
        <v>2</v>
      </c>
      <c r="AK609">
        <v>19</v>
      </c>
      <c r="AL609">
        <v>2</v>
      </c>
      <c r="AM609">
        <v>25</v>
      </c>
      <c r="AN609">
        <v>1</v>
      </c>
      <c r="AO609" t="s">
        <v>3374</v>
      </c>
      <c r="AP609" t="s">
        <v>3375</v>
      </c>
      <c r="AQ609">
        <v>0.72499999999999998</v>
      </c>
      <c r="AR609" t="s">
        <v>69</v>
      </c>
      <c r="AS609">
        <v>44</v>
      </c>
      <c r="AT609">
        <v>3</v>
      </c>
      <c r="AU609">
        <v>2.7150000000000001E-2</v>
      </c>
      <c r="AV609">
        <v>-4.6600000000000001E-3</v>
      </c>
      <c r="AW609">
        <v>0.11883000000000001</v>
      </c>
      <c r="AX609">
        <v>-2.154E-2</v>
      </c>
      <c r="AY609">
        <v>2.5400000000000002E-3</v>
      </c>
      <c r="AZ609">
        <v>-4.6000000000000001E-4</v>
      </c>
      <c r="BA609">
        <v>2.1389999999999999E-2</v>
      </c>
      <c r="BB609">
        <v>1</v>
      </c>
      <c r="BC609" t="s">
        <v>70</v>
      </c>
      <c r="BD609">
        <v>0.83599999999999997</v>
      </c>
      <c r="BE609">
        <v>-0.06</v>
      </c>
      <c r="BF609" t="s">
        <v>71</v>
      </c>
      <c r="BG609">
        <v>0.126550868486352</v>
      </c>
      <c r="BI609">
        <v>47</v>
      </c>
      <c r="BJ609">
        <v>2.1389999999999999E-2</v>
      </c>
      <c r="BK609">
        <v>0.126550868486352</v>
      </c>
    </row>
    <row r="610" spans="1:63">
      <c r="A610">
        <v>3361</v>
      </c>
      <c r="B610" t="s">
        <v>3392</v>
      </c>
      <c r="D610" t="s">
        <v>66</v>
      </c>
      <c r="E610">
        <v>3389027</v>
      </c>
      <c r="F610">
        <v>3390412</v>
      </c>
      <c r="G610" t="s">
        <v>3394</v>
      </c>
      <c r="H610">
        <v>462</v>
      </c>
      <c r="I610" t="s">
        <v>63</v>
      </c>
      <c r="J610">
        <v>5</v>
      </c>
      <c r="K610" t="str">
        <f>HYPERLINK("Gene3361-zp_tree_all.dnd", "Gene3361-tree")</f>
        <v>Gene3361-tree</v>
      </c>
      <c r="L610">
        <v>4</v>
      </c>
      <c r="M610">
        <v>1</v>
      </c>
      <c r="N610">
        <v>4</v>
      </c>
      <c r="O610">
        <v>1</v>
      </c>
      <c r="P610">
        <v>0.2</v>
      </c>
      <c r="Q610" t="s">
        <v>64</v>
      </c>
      <c r="R610" t="s">
        <v>65</v>
      </c>
      <c r="S610" t="s">
        <v>66</v>
      </c>
      <c r="T610" t="s">
        <v>66</v>
      </c>
      <c r="U610">
        <v>0</v>
      </c>
      <c r="V610">
        <v>0</v>
      </c>
      <c r="W610">
        <v>3</v>
      </c>
      <c r="X610">
        <v>0</v>
      </c>
      <c r="Y610">
        <v>0</v>
      </c>
      <c r="Z610">
        <v>0</v>
      </c>
      <c r="AA610">
        <v>0</v>
      </c>
      <c r="AB610">
        <v>2</v>
      </c>
      <c r="AC610">
        <v>0</v>
      </c>
      <c r="AD610">
        <v>0</v>
      </c>
      <c r="AE610">
        <v>0</v>
      </c>
      <c r="AF610">
        <v>0</v>
      </c>
      <c r="AG610">
        <v>1</v>
      </c>
      <c r="AH610">
        <v>0</v>
      </c>
      <c r="AI610">
        <v>4</v>
      </c>
      <c r="AJ610">
        <v>2</v>
      </c>
      <c r="AK610">
        <v>36</v>
      </c>
      <c r="AL610">
        <v>1</v>
      </c>
      <c r="AM610">
        <v>37</v>
      </c>
      <c r="AN610">
        <v>2</v>
      </c>
      <c r="AO610" t="s">
        <v>3395</v>
      </c>
      <c r="AP610" t="s">
        <v>3396</v>
      </c>
      <c r="AQ610">
        <v>0.29599999999999999</v>
      </c>
      <c r="AR610" t="s">
        <v>69</v>
      </c>
      <c r="AS610">
        <v>73</v>
      </c>
      <c r="AT610">
        <v>3</v>
      </c>
      <c r="AU610">
        <v>2.6700000000000002E-2</v>
      </c>
      <c r="AV610">
        <v>-4.7000000000000002E-3</v>
      </c>
      <c r="AW610">
        <v>0.12827</v>
      </c>
      <c r="AX610">
        <v>-2.3089999999999999E-2</v>
      </c>
      <c r="AY610">
        <v>1.49E-3</v>
      </c>
      <c r="AZ610">
        <v>-3.5E-4</v>
      </c>
      <c r="BA610">
        <v>1.159E-2</v>
      </c>
      <c r="BB610">
        <v>1</v>
      </c>
      <c r="BC610" t="s">
        <v>70</v>
      </c>
      <c r="BD610">
        <v>0.53500000000000003</v>
      </c>
      <c r="BE610">
        <v>0.316</v>
      </c>
      <c r="BF610" t="s">
        <v>71</v>
      </c>
      <c r="BG610">
        <v>7.25075528700906E-2</v>
      </c>
      <c r="BI610">
        <v>76</v>
      </c>
      <c r="BJ610">
        <v>1.159E-2</v>
      </c>
      <c r="BK610">
        <v>7.25075528700906E-2</v>
      </c>
    </row>
    <row r="611" spans="1:63">
      <c r="A611">
        <v>3362</v>
      </c>
      <c r="B611" t="s">
        <v>3397</v>
      </c>
      <c r="D611" t="s">
        <v>66</v>
      </c>
      <c r="E611">
        <v>3390482</v>
      </c>
      <c r="F611">
        <v>3390664</v>
      </c>
      <c r="G611" t="s">
        <v>74</v>
      </c>
      <c r="H611">
        <v>61</v>
      </c>
      <c r="I611" t="s">
        <v>63</v>
      </c>
      <c r="J611">
        <v>5</v>
      </c>
      <c r="K611" t="str">
        <f>HYPERLINK("Gene3362-zp_tree_all.dnd", "Gene3362-tree")</f>
        <v>Gene3362-tree</v>
      </c>
      <c r="L611">
        <v>2</v>
      </c>
      <c r="M611">
        <v>3</v>
      </c>
      <c r="N611">
        <v>2</v>
      </c>
      <c r="O611">
        <v>3</v>
      </c>
      <c r="P611">
        <v>0.6</v>
      </c>
      <c r="Q611" t="s">
        <v>124</v>
      </c>
      <c r="R611" t="s">
        <v>86</v>
      </c>
      <c r="S611" t="s">
        <v>66</v>
      </c>
      <c r="T611" t="s">
        <v>66</v>
      </c>
      <c r="U611">
        <v>0</v>
      </c>
      <c r="V611">
        <v>0</v>
      </c>
      <c r="W611">
        <v>3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3</v>
      </c>
      <c r="AH611">
        <v>0</v>
      </c>
      <c r="AI611">
        <v>3</v>
      </c>
      <c r="AJ611">
        <v>2</v>
      </c>
      <c r="AK611">
        <v>3</v>
      </c>
      <c r="AL611">
        <v>3</v>
      </c>
      <c r="AM611">
        <v>5</v>
      </c>
      <c r="AN611">
        <v>0</v>
      </c>
      <c r="AO611" t="s">
        <v>3399</v>
      </c>
      <c r="AP611" t="s">
        <v>68</v>
      </c>
      <c r="AQ611">
        <v>2.569</v>
      </c>
      <c r="AR611" t="s">
        <v>239</v>
      </c>
      <c r="AS611">
        <v>8</v>
      </c>
      <c r="AT611">
        <v>3</v>
      </c>
      <c r="AU611">
        <v>2.9510000000000002E-2</v>
      </c>
      <c r="AV611">
        <v>-4.45E-3</v>
      </c>
      <c r="AW611">
        <v>0.11097</v>
      </c>
      <c r="AX611">
        <v>-2.085E-2</v>
      </c>
      <c r="AY611">
        <v>8.5599999999999999E-3</v>
      </c>
      <c r="AZ611">
        <v>-1.3600000000000001E-3</v>
      </c>
      <c r="BA611">
        <v>7.7090000000000006E-2</v>
      </c>
      <c r="BB611">
        <v>1</v>
      </c>
      <c r="BC611" t="s">
        <v>70</v>
      </c>
      <c r="BD611">
        <v>0.16400000000000001</v>
      </c>
      <c r="BE611">
        <v>0.16400000000000001</v>
      </c>
      <c r="BF611" t="s">
        <v>71</v>
      </c>
      <c r="BG611">
        <v>4.6153846153846101E-2</v>
      </c>
      <c r="BI611">
        <v>11</v>
      </c>
      <c r="BJ611">
        <v>7.7090000000000006E-2</v>
      </c>
      <c r="BK611">
        <v>4.6153846153846101E-2</v>
      </c>
    </row>
    <row r="612" spans="1:63">
      <c r="A612">
        <v>3400</v>
      </c>
      <c r="B612" t="s">
        <v>3406</v>
      </c>
      <c r="D612" t="s">
        <v>66</v>
      </c>
      <c r="E612">
        <v>3426752</v>
      </c>
      <c r="F612">
        <v>3427579</v>
      </c>
      <c r="G612" t="s">
        <v>3408</v>
      </c>
      <c r="H612">
        <v>276</v>
      </c>
      <c r="I612" t="s">
        <v>85</v>
      </c>
      <c r="J612">
        <v>4</v>
      </c>
      <c r="K612" t="str">
        <f>HYPERLINK("Gene3400-zp_tree_all.dnd", "Gene3400-tree")</f>
        <v>Gene3400-tree</v>
      </c>
      <c r="L612">
        <v>1</v>
      </c>
      <c r="M612">
        <v>3</v>
      </c>
      <c r="N612">
        <v>1</v>
      </c>
      <c r="O612">
        <v>3</v>
      </c>
      <c r="P612">
        <v>0.75</v>
      </c>
      <c r="Q612" t="s">
        <v>65</v>
      </c>
      <c r="R612" t="s">
        <v>86</v>
      </c>
      <c r="S612" t="s">
        <v>66</v>
      </c>
      <c r="T612" t="s">
        <v>66</v>
      </c>
      <c r="U612">
        <v>1</v>
      </c>
      <c r="V612">
        <v>2</v>
      </c>
      <c r="W612">
        <v>4</v>
      </c>
      <c r="X612">
        <v>0.33333000000000002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2</v>
      </c>
      <c r="AF612">
        <v>2</v>
      </c>
      <c r="AG612">
        <v>4</v>
      </c>
      <c r="AH612">
        <v>0.33333000000000002</v>
      </c>
      <c r="AI612">
        <v>4</v>
      </c>
      <c r="AJ612">
        <v>1</v>
      </c>
      <c r="AK612">
        <v>36</v>
      </c>
      <c r="AL612">
        <v>6</v>
      </c>
      <c r="AM612">
        <v>3</v>
      </c>
      <c r="AN612">
        <v>0</v>
      </c>
      <c r="AO612" t="s">
        <v>3409</v>
      </c>
      <c r="AP612" t="s">
        <v>68</v>
      </c>
      <c r="AQ612">
        <v>1.3839999999999999</v>
      </c>
      <c r="AR612" t="s">
        <v>69</v>
      </c>
      <c r="AS612">
        <v>39</v>
      </c>
      <c r="AT612">
        <v>6</v>
      </c>
      <c r="AU612">
        <v>2.758E-2</v>
      </c>
      <c r="AV612">
        <v>-5.0600000000000003E-3</v>
      </c>
      <c r="AW612">
        <v>0.12466000000000001</v>
      </c>
      <c r="AX612">
        <v>-2.5559999999999999E-2</v>
      </c>
      <c r="AY612">
        <v>4.62E-3</v>
      </c>
      <c r="AZ612">
        <v>-8.0999999999999996E-4</v>
      </c>
      <c r="BA612">
        <v>3.705E-2</v>
      </c>
      <c r="BB612">
        <v>1</v>
      </c>
      <c r="BC612" t="s">
        <v>70</v>
      </c>
      <c r="BD612">
        <v>-0.505</v>
      </c>
      <c r="BE612">
        <v>-0.72199999999999998</v>
      </c>
      <c r="BF612" t="s">
        <v>71</v>
      </c>
      <c r="BG612">
        <v>0.13450292397660801</v>
      </c>
      <c r="BI612">
        <v>45</v>
      </c>
      <c r="BJ612">
        <v>3.705E-2</v>
      </c>
      <c r="BK612">
        <v>0.13450292397660801</v>
      </c>
    </row>
    <row r="613" spans="1:63">
      <c r="A613">
        <v>3411</v>
      </c>
      <c r="B613" t="s">
        <v>3415</v>
      </c>
      <c r="D613" t="s">
        <v>66</v>
      </c>
      <c r="E613">
        <v>3443616</v>
      </c>
      <c r="F613">
        <v>3443822</v>
      </c>
      <c r="G613" t="s">
        <v>3417</v>
      </c>
      <c r="H613">
        <v>69</v>
      </c>
      <c r="I613" t="s">
        <v>106</v>
      </c>
      <c r="J613">
        <v>4</v>
      </c>
      <c r="K613" t="str">
        <f>HYPERLINK("Gene3411-zp_tree_all.dnd", "Gene3411-tree")</f>
        <v>Gene3411-tree</v>
      </c>
      <c r="L613">
        <v>3</v>
      </c>
      <c r="M613">
        <v>1</v>
      </c>
      <c r="N613">
        <v>3</v>
      </c>
      <c r="O613">
        <v>1</v>
      </c>
      <c r="P613">
        <v>0.25</v>
      </c>
      <c r="Q613" t="s">
        <v>86</v>
      </c>
      <c r="R613" t="s">
        <v>65</v>
      </c>
      <c r="S613" t="s">
        <v>66</v>
      </c>
      <c r="T613" t="s">
        <v>66</v>
      </c>
      <c r="U613">
        <v>0</v>
      </c>
      <c r="V613">
        <v>0</v>
      </c>
      <c r="W613">
        <v>2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2</v>
      </c>
      <c r="AH613">
        <v>0</v>
      </c>
      <c r="AI613">
        <v>4</v>
      </c>
      <c r="AJ613">
        <v>1</v>
      </c>
      <c r="AK613">
        <v>10</v>
      </c>
      <c r="AL613">
        <v>2</v>
      </c>
      <c r="AM613">
        <v>1</v>
      </c>
      <c r="AN613">
        <v>0</v>
      </c>
      <c r="AO613" t="s">
        <v>3418</v>
      </c>
      <c r="AP613" t="s">
        <v>68</v>
      </c>
      <c r="AQ613">
        <v>0.53400000000000003</v>
      </c>
      <c r="AR613" t="s">
        <v>69</v>
      </c>
      <c r="AS613">
        <v>11</v>
      </c>
      <c r="AT613">
        <v>2</v>
      </c>
      <c r="AU613">
        <v>3.0679999999999999E-2</v>
      </c>
      <c r="AV613">
        <v>-7.2700000000000004E-3</v>
      </c>
      <c r="AW613">
        <v>0.13105</v>
      </c>
      <c r="AX613">
        <v>-2.904E-2</v>
      </c>
      <c r="AY613">
        <v>6.4200000000000004E-3</v>
      </c>
      <c r="AZ613">
        <v>-2.6199999999999999E-3</v>
      </c>
      <c r="BA613">
        <v>4.9020000000000001E-2</v>
      </c>
      <c r="BB613">
        <v>1</v>
      </c>
      <c r="BC613" t="s">
        <v>70</v>
      </c>
      <c r="BD613">
        <v>0.27900000000000003</v>
      </c>
      <c r="BE613">
        <v>-0.55800000000000005</v>
      </c>
      <c r="BF613" t="s">
        <v>71</v>
      </c>
      <c r="BG613">
        <v>0.26315789473684198</v>
      </c>
      <c r="BI613">
        <v>13</v>
      </c>
      <c r="BJ613">
        <v>4.9020000000000001E-2</v>
      </c>
      <c r="BK613">
        <v>0.26315789473684198</v>
      </c>
    </row>
    <row r="614" spans="1:63">
      <c r="A614">
        <v>3412</v>
      </c>
      <c r="B614" t="s">
        <v>3419</v>
      </c>
      <c r="D614" t="s">
        <v>66</v>
      </c>
      <c r="E614">
        <v>3443899</v>
      </c>
      <c r="F614">
        <v>3444201</v>
      </c>
      <c r="G614" t="s">
        <v>3421</v>
      </c>
      <c r="H614">
        <v>101</v>
      </c>
      <c r="I614" t="s">
        <v>106</v>
      </c>
      <c r="J614">
        <v>4</v>
      </c>
      <c r="K614" t="str">
        <f>HYPERLINK("Gene3412-zp_tree_all.dnd", "Gene3412-tree")</f>
        <v>Gene3412-tree</v>
      </c>
      <c r="L614">
        <v>3</v>
      </c>
      <c r="M614">
        <v>1</v>
      </c>
      <c r="N614">
        <v>3</v>
      </c>
      <c r="O614">
        <v>1</v>
      </c>
      <c r="P614">
        <v>0.25</v>
      </c>
      <c r="Q614" t="s">
        <v>86</v>
      </c>
      <c r="R614" t="s">
        <v>65</v>
      </c>
      <c r="S614" t="s">
        <v>66</v>
      </c>
      <c r="T614" t="s">
        <v>66</v>
      </c>
      <c r="U614">
        <v>0</v>
      </c>
      <c r="V614">
        <v>0</v>
      </c>
      <c r="W614">
        <v>2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2</v>
      </c>
      <c r="AH614">
        <v>0</v>
      </c>
      <c r="AI614">
        <v>4</v>
      </c>
      <c r="AJ614">
        <v>1</v>
      </c>
      <c r="AK614">
        <v>14</v>
      </c>
      <c r="AL614">
        <v>2</v>
      </c>
      <c r="AM614">
        <v>4</v>
      </c>
      <c r="AN614">
        <v>0</v>
      </c>
      <c r="AO614" t="s">
        <v>3422</v>
      </c>
      <c r="AP614" t="s">
        <v>68</v>
      </c>
      <c r="AQ614">
        <v>0.57799999999999996</v>
      </c>
      <c r="AR614" t="s">
        <v>69</v>
      </c>
      <c r="AS614">
        <v>18</v>
      </c>
      <c r="AT614">
        <v>2</v>
      </c>
      <c r="AU614">
        <v>3.4099999999999998E-2</v>
      </c>
      <c r="AV614">
        <v>-5.7000000000000002E-3</v>
      </c>
      <c r="AW614">
        <v>0.17702999999999999</v>
      </c>
      <c r="AX614">
        <v>-2.8150000000000001E-2</v>
      </c>
      <c r="AY614">
        <v>4.1399999999999996E-3</v>
      </c>
      <c r="AZ614">
        <v>-1.6900000000000001E-3</v>
      </c>
      <c r="BA614">
        <v>2.3390000000000001E-2</v>
      </c>
      <c r="BB614">
        <v>1</v>
      </c>
      <c r="BC614" t="s">
        <v>70</v>
      </c>
      <c r="BD614">
        <v>-0.03</v>
      </c>
      <c r="BE614">
        <v>-0.03</v>
      </c>
      <c r="BF614" t="s">
        <v>71</v>
      </c>
      <c r="BG614">
        <v>0.152</v>
      </c>
      <c r="BI614">
        <v>20</v>
      </c>
      <c r="BJ614">
        <v>2.3390000000000001E-2</v>
      </c>
      <c r="BK614">
        <v>0.152</v>
      </c>
    </row>
    <row r="615" spans="1:63">
      <c r="A615">
        <v>3419</v>
      </c>
      <c r="B615" t="s">
        <v>3423</v>
      </c>
      <c r="D615" t="s">
        <v>66</v>
      </c>
      <c r="E615">
        <v>3449735</v>
      </c>
      <c r="F615">
        <v>3450526</v>
      </c>
      <c r="G615" t="s">
        <v>2639</v>
      </c>
      <c r="H615">
        <v>264</v>
      </c>
      <c r="I615" t="s">
        <v>63</v>
      </c>
      <c r="J615">
        <v>5</v>
      </c>
      <c r="K615" t="str">
        <f>HYPERLINK("Gene3419-zp_tree_all.dnd", "Gene3419-tree")</f>
        <v>Gene3419-tree</v>
      </c>
      <c r="L615">
        <v>3</v>
      </c>
      <c r="M615">
        <v>2</v>
      </c>
      <c r="N615">
        <v>3</v>
      </c>
      <c r="O615">
        <v>2</v>
      </c>
      <c r="P615">
        <v>0.4</v>
      </c>
      <c r="Q615" t="s">
        <v>86</v>
      </c>
      <c r="R615" t="s">
        <v>124</v>
      </c>
      <c r="S615" t="s">
        <v>66</v>
      </c>
      <c r="T615" t="s">
        <v>66</v>
      </c>
      <c r="U615">
        <v>0</v>
      </c>
      <c r="V615">
        <v>0</v>
      </c>
      <c r="W615">
        <v>8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8</v>
      </c>
      <c r="AH615">
        <v>0</v>
      </c>
      <c r="AI615">
        <v>5</v>
      </c>
      <c r="AJ615">
        <v>2</v>
      </c>
      <c r="AK615">
        <v>41</v>
      </c>
      <c r="AL615">
        <v>5</v>
      </c>
      <c r="AM615">
        <v>11</v>
      </c>
      <c r="AN615">
        <v>3</v>
      </c>
      <c r="AO615" t="s">
        <v>3425</v>
      </c>
      <c r="AP615" t="s">
        <v>3426</v>
      </c>
      <c r="AQ615">
        <v>0.44600000000000001</v>
      </c>
      <c r="AR615" t="s">
        <v>69</v>
      </c>
      <c r="AS615">
        <v>52</v>
      </c>
      <c r="AT615">
        <v>8</v>
      </c>
      <c r="AU615">
        <v>3.295E-2</v>
      </c>
      <c r="AV615">
        <v>-4.3099999999999996E-3</v>
      </c>
      <c r="AW615">
        <v>0.13153999999999999</v>
      </c>
      <c r="AX615">
        <v>-1.6629999999999999E-2</v>
      </c>
      <c r="AY615">
        <v>6.3200000000000001E-3</v>
      </c>
      <c r="AZ615">
        <v>-1.33E-3</v>
      </c>
      <c r="BA615">
        <v>4.8059999999999999E-2</v>
      </c>
      <c r="BB615">
        <v>1</v>
      </c>
      <c r="BC615" t="s">
        <v>70</v>
      </c>
      <c r="BD615">
        <v>-0.34799999999999998</v>
      </c>
      <c r="BE615">
        <v>-0.59699999999999998</v>
      </c>
      <c r="BF615" t="s">
        <v>71</v>
      </c>
      <c r="BG615">
        <v>0.122340425531914</v>
      </c>
      <c r="BI615">
        <v>60</v>
      </c>
      <c r="BJ615">
        <v>4.8059999999999999E-2</v>
      </c>
      <c r="BK615">
        <v>0.122340425531914</v>
      </c>
    </row>
    <row r="616" spans="1:63">
      <c r="A616">
        <v>3420</v>
      </c>
      <c r="B616" t="s">
        <v>3427</v>
      </c>
      <c r="D616" t="s">
        <v>66</v>
      </c>
      <c r="E616">
        <v>3451251</v>
      </c>
      <c r="F616">
        <v>3451718</v>
      </c>
      <c r="G616" t="s">
        <v>3429</v>
      </c>
      <c r="H616">
        <v>156</v>
      </c>
      <c r="I616" t="s">
        <v>63</v>
      </c>
      <c r="J616">
        <v>5</v>
      </c>
      <c r="K616" t="str">
        <f>HYPERLINK("Gene3420-zp_tree_all.dnd", "Gene3420-tree")</f>
        <v>Gene3420-tree</v>
      </c>
      <c r="L616">
        <v>5</v>
      </c>
      <c r="M616">
        <v>0</v>
      </c>
      <c r="N616">
        <v>5</v>
      </c>
      <c r="O616">
        <v>0</v>
      </c>
      <c r="P616">
        <v>0</v>
      </c>
      <c r="Q616" t="s">
        <v>96</v>
      </c>
      <c r="R616" t="s">
        <v>66</v>
      </c>
      <c r="S616" t="s">
        <v>66</v>
      </c>
      <c r="T616" t="s">
        <v>66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4</v>
      </c>
      <c r="AJ616">
        <v>2</v>
      </c>
      <c r="AK616">
        <v>12</v>
      </c>
      <c r="AL616">
        <v>0</v>
      </c>
      <c r="AM616">
        <v>8</v>
      </c>
      <c r="AN616">
        <v>0</v>
      </c>
      <c r="AO616" t="s">
        <v>68</v>
      </c>
      <c r="AP616" t="s">
        <v>68</v>
      </c>
      <c r="AQ616">
        <v>0</v>
      </c>
      <c r="AR616" t="s">
        <v>69</v>
      </c>
      <c r="AS616">
        <v>20</v>
      </c>
      <c r="AT616">
        <v>0</v>
      </c>
      <c r="AU616">
        <v>1.9439999999999999E-2</v>
      </c>
      <c r="AV616">
        <v>-2.8900000000000002E-3</v>
      </c>
      <c r="AW616">
        <v>9.3880000000000005E-2</v>
      </c>
      <c r="AX616">
        <v>-1.451E-2</v>
      </c>
      <c r="AY616">
        <v>0</v>
      </c>
      <c r="AZ616">
        <v>0</v>
      </c>
      <c r="BA616">
        <v>0</v>
      </c>
      <c r="BB616">
        <v>1</v>
      </c>
      <c r="BC616" t="s">
        <v>70</v>
      </c>
      <c r="BD616">
        <v>0.39200000000000002</v>
      </c>
      <c r="BE616">
        <v>-3.4000000000000002E-2</v>
      </c>
      <c r="BF616" t="s">
        <v>71</v>
      </c>
      <c r="BG616">
        <v>5.16431924882629E-2</v>
      </c>
      <c r="BI616">
        <v>20</v>
      </c>
      <c r="BJ616">
        <v>0</v>
      </c>
      <c r="BK616">
        <v>5.16431924882629E-2</v>
      </c>
    </row>
    <row r="617" spans="1:63">
      <c r="A617">
        <v>3421</v>
      </c>
      <c r="B617" t="s">
        <v>3430</v>
      </c>
      <c r="D617" t="s">
        <v>66</v>
      </c>
      <c r="E617">
        <v>3451866</v>
      </c>
      <c r="F617">
        <v>3454202</v>
      </c>
      <c r="G617" t="s">
        <v>3432</v>
      </c>
      <c r="H617">
        <v>779</v>
      </c>
      <c r="I617" t="s">
        <v>63</v>
      </c>
      <c r="J617">
        <v>5</v>
      </c>
      <c r="K617" t="str">
        <f>HYPERLINK("Gene3421-zp_tree_all.dnd", "Gene3421-tree")</f>
        <v>Gene3421-tree</v>
      </c>
      <c r="L617">
        <v>2</v>
      </c>
      <c r="M617">
        <v>3</v>
      </c>
      <c r="N617">
        <v>2</v>
      </c>
      <c r="O617">
        <v>3</v>
      </c>
      <c r="P617">
        <v>0.6</v>
      </c>
      <c r="Q617" t="s">
        <v>124</v>
      </c>
      <c r="R617" t="s">
        <v>86</v>
      </c>
      <c r="S617" t="s">
        <v>66</v>
      </c>
      <c r="T617" t="s">
        <v>66</v>
      </c>
      <c r="U617">
        <v>0</v>
      </c>
      <c r="V617">
        <v>0</v>
      </c>
      <c r="W617">
        <v>11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11</v>
      </c>
      <c r="AH617">
        <v>0</v>
      </c>
      <c r="AI617">
        <v>5</v>
      </c>
      <c r="AJ617">
        <v>2</v>
      </c>
      <c r="AK617">
        <v>98</v>
      </c>
      <c r="AL617">
        <v>6</v>
      </c>
      <c r="AM617">
        <v>72</v>
      </c>
      <c r="AN617">
        <v>5</v>
      </c>
      <c r="AO617" t="s">
        <v>3433</v>
      </c>
      <c r="AP617" t="s">
        <v>3434</v>
      </c>
      <c r="AQ617">
        <v>5.2999999999999999E-2</v>
      </c>
      <c r="AR617" t="s">
        <v>69</v>
      </c>
      <c r="AS617">
        <v>170</v>
      </c>
      <c r="AT617">
        <v>11</v>
      </c>
      <c r="AU617">
        <v>3.5470000000000002E-2</v>
      </c>
      <c r="AV617">
        <v>-5.2300000000000003E-3</v>
      </c>
      <c r="AW617">
        <v>0.17186000000000001</v>
      </c>
      <c r="AX617">
        <v>-2.631E-2</v>
      </c>
      <c r="AY617">
        <v>2.98E-3</v>
      </c>
      <c r="AZ617">
        <v>-5.9999999999999995E-4</v>
      </c>
      <c r="BA617">
        <v>1.7309999999999999E-2</v>
      </c>
      <c r="BB617">
        <v>1</v>
      </c>
      <c r="BC617" t="s">
        <v>70</v>
      </c>
      <c r="BD617">
        <v>0.504</v>
      </c>
      <c r="BE617">
        <v>2.4E-2</v>
      </c>
      <c r="BF617" t="s">
        <v>71</v>
      </c>
      <c r="BG617">
        <v>0.11870503597122301</v>
      </c>
      <c r="BI617">
        <v>181</v>
      </c>
      <c r="BJ617">
        <v>1.7309999999999999E-2</v>
      </c>
      <c r="BK617">
        <v>0.11870503597122301</v>
      </c>
    </row>
    <row r="618" spans="1:63">
      <c r="A618">
        <v>3422</v>
      </c>
      <c r="B618" t="s">
        <v>3435</v>
      </c>
      <c r="D618" t="s">
        <v>66</v>
      </c>
      <c r="E618">
        <v>3454224</v>
      </c>
      <c r="F618">
        <v>3454967</v>
      </c>
      <c r="G618" t="s">
        <v>3437</v>
      </c>
      <c r="H618">
        <v>248</v>
      </c>
      <c r="I618" t="s">
        <v>63</v>
      </c>
      <c r="J618">
        <v>5</v>
      </c>
      <c r="K618" t="str">
        <f>HYPERLINK("Gene3422-zp_tree_all.dnd", "Gene3422-tree")</f>
        <v>Gene3422-tree</v>
      </c>
      <c r="L618">
        <v>4</v>
      </c>
      <c r="M618">
        <v>1</v>
      </c>
      <c r="N618">
        <v>4</v>
      </c>
      <c r="O618">
        <v>1</v>
      </c>
      <c r="P618">
        <v>0.2</v>
      </c>
      <c r="Q618" t="s">
        <v>64</v>
      </c>
      <c r="R618" t="s">
        <v>65</v>
      </c>
      <c r="S618" t="s">
        <v>66</v>
      </c>
      <c r="T618" t="s">
        <v>66</v>
      </c>
      <c r="U618">
        <v>0</v>
      </c>
      <c r="V618">
        <v>0</v>
      </c>
      <c r="W618">
        <v>2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0</v>
      </c>
      <c r="AD618">
        <v>0</v>
      </c>
      <c r="AE618">
        <v>0</v>
      </c>
      <c r="AF618">
        <v>0</v>
      </c>
      <c r="AG618">
        <v>1</v>
      </c>
      <c r="AH618">
        <v>0</v>
      </c>
      <c r="AI618">
        <v>5</v>
      </c>
      <c r="AJ618">
        <v>1</v>
      </c>
      <c r="AK618">
        <v>15</v>
      </c>
      <c r="AL618">
        <v>1</v>
      </c>
      <c r="AM618">
        <v>22</v>
      </c>
      <c r="AN618">
        <v>1</v>
      </c>
      <c r="AO618" t="s">
        <v>3438</v>
      </c>
      <c r="AP618" t="s">
        <v>3439</v>
      </c>
      <c r="AQ618">
        <v>0.19</v>
      </c>
      <c r="AR618" t="s">
        <v>69</v>
      </c>
      <c r="AS618">
        <v>37</v>
      </c>
      <c r="AT618">
        <v>2</v>
      </c>
      <c r="AU618">
        <v>2.7150000000000001E-2</v>
      </c>
      <c r="AV618">
        <v>-5.2900000000000004E-3</v>
      </c>
      <c r="AW618">
        <v>0.13333</v>
      </c>
      <c r="AX618">
        <v>-2.6620000000000001E-2</v>
      </c>
      <c r="AY618">
        <v>1.72E-3</v>
      </c>
      <c r="AZ618">
        <v>-4.2000000000000002E-4</v>
      </c>
      <c r="BA618">
        <v>1.2919999999999999E-2</v>
      </c>
      <c r="BB618">
        <v>1</v>
      </c>
      <c r="BC618" t="s">
        <v>70</v>
      </c>
      <c r="BD618">
        <v>0.59399999999999997</v>
      </c>
      <c r="BE618">
        <v>0.59399999999999997</v>
      </c>
      <c r="BF618" t="s">
        <v>71</v>
      </c>
      <c r="BG618">
        <v>0.162650602409638</v>
      </c>
      <c r="BI618">
        <v>39</v>
      </c>
      <c r="BJ618">
        <v>1.2919999999999999E-2</v>
      </c>
      <c r="BK618">
        <v>0.162650602409638</v>
      </c>
    </row>
    <row r="619" spans="1:63">
      <c r="A619">
        <v>3423</v>
      </c>
      <c r="B619" t="s">
        <v>3440</v>
      </c>
      <c r="D619" t="s">
        <v>66</v>
      </c>
      <c r="E619">
        <v>3455096</v>
      </c>
      <c r="F619">
        <v>3455323</v>
      </c>
      <c r="G619" t="s">
        <v>3442</v>
      </c>
      <c r="H619">
        <v>76</v>
      </c>
      <c r="I619" t="s">
        <v>63</v>
      </c>
      <c r="J619">
        <v>5</v>
      </c>
      <c r="K619" t="str">
        <f>HYPERLINK("Gene3423-zp_tree_all.dnd", "Gene3423-tree")</f>
        <v>Gene3423-tree</v>
      </c>
      <c r="L619">
        <v>5</v>
      </c>
      <c r="M619">
        <v>0</v>
      </c>
      <c r="N619">
        <v>4</v>
      </c>
      <c r="O619">
        <v>0</v>
      </c>
      <c r="P619">
        <v>0</v>
      </c>
      <c r="Q619" t="s">
        <v>135</v>
      </c>
      <c r="R619" t="s">
        <v>66</v>
      </c>
      <c r="S619" t="s">
        <v>66</v>
      </c>
      <c r="T619" t="s">
        <v>66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2</v>
      </c>
      <c r="AJ619">
        <v>1</v>
      </c>
      <c r="AK619">
        <v>2</v>
      </c>
      <c r="AL619">
        <v>0</v>
      </c>
      <c r="AM619">
        <v>4</v>
      </c>
      <c r="AN619">
        <v>0</v>
      </c>
      <c r="AO619" t="s">
        <v>68</v>
      </c>
      <c r="AP619" t="s">
        <v>68</v>
      </c>
      <c r="AQ619">
        <v>0</v>
      </c>
      <c r="AR619" t="s">
        <v>69</v>
      </c>
      <c r="AS619">
        <v>6</v>
      </c>
      <c r="AT619">
        <v>0</v>
      </c>
      <c r="AU619">
        <v>1.6080000000000001E-2</v>
      </c>
      <c r="AV619">
        <v>-3.5300000000000002E-3</v>
      </c>
      <c r="AW619">
        <v>6.6540000000000002E-2</v>
      </c>
      <c r="AX619">
        <v>-1.4919999999999999E-2</v>
      </c>
      <c r="AY619">
        <v>0</v>
      </c>
      <c r="AZ619">
        <v>0</v>
      </c>
      <c r="BA619">
        <v>0</v>
      </c>
      <c r="BB619">
        <v>1</v>
      </c>
      <c r="BC619" t="s">
        <v>70</v>
      </c>
      <c r="BD619">
        <v>0.76400000000000001</v>
      </c>
      <c r="BE619">
        <v>0.76400000000000001</v>
      </c>
      <c r="BF619" t="s">
        <v>71</v>
      </c>
      <c r="BG619">
        <v>0.11111111111111099</v>
      </c>
      <c r="BI619">
        <v>6</v>
      </c>
      <c r="BJ619">
        <v>0</v>
      </c>
      <c r="BK619">
        <v>0.11111111111111099</v>
      </c>
    </row>
    <row r="620" spans="1:63">
      <c r="A620">
        <v>3425</v>
      </c>
      <c r="B620" t="s">
        <v>3443</v>
      </c>
      <c r="D620" t="s">
        <v>66</v>
      </c>
      <c r="E620">
        <v>3456285</v>
      </c>
      <c r="F620">
        <v>3456515</v>
      </c>
      <c r="G620" t="s">
        <v>3445</v>
      </c>
      <c r="H620">
        <v>77</v>
      </c>
      <c r="I620" t="s">
        <v>63</v>
      </c>
      <c r="J620">
        <v>5</v>
      </c>
      <c r="K620" t="str">
        <f>HYPERLINK("Gene3425-zp_tree_all.dnd", "Gene3425-tree")</f>
        <v>Gene3425-tree</v>
      </c>
      <c r="L620">
        <v>5</v>
      </c>
      <c r="M620">
        <v>0</v>
      </c>
      <c r="N620">
        <v>5</v>
      </c>
      <c r="O620">
        <v>0</v>
      </c>
      <c r="P620">
        <v>0</v>
      </c>
      <c r="Q620" t="s">
        <v>96</v>
      </c>
      <c r="R620" t="s">
        <v>66</v>
      </c>
      <c r="S620" t="s">
        <v>66</v>
      </c>
      <c r="T620" t="s">
        <v>66</v>
      </c>
      <c r="U620">
        <v>0</v>
      </c>
      <c r="V620">
        <v>0</v>
      </c>
      <c r="W620">
        <v>1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3</v>
      </c>
      <c r="AJ620">
        <v>2</v>
      </c>
      <c r="AK620">
        <v>6</v>
      </c>
      <c r="AL620">
        <v>0</v>
      </c>
      <c r="AM620">
        <v>2</v>
      </c>
      <c r="AN620">
        <v>1</v>
      </c>
      <c r="AO620" t="s">
        <v>68</v>
      </c>
      <c r="AP620" t="s">
        <v>3446</v>
      </c>
      <c r="AQ620">
        <v>0.70699999999999996</v>
      </c>
      <c r="AR620" t="s">
        <v>69</v>
      </c>
      <c r="AS620">
        <v>8</v>
      </c>
      <c r="AT620">
        <v>1</v>
      </c>
      <c r="AU620">
        <v>1.8180000000000002E-2</v>
      </c>
      <c r="AV620">
        <v>-2.5100000000000001E-3</v>
      </c>
      <c r="AW620">
        <v>7.2029999999999997E-2</v>
      </c>
      <c r="AX620">
        <v>-1.1180000000000001E-2</v>
      </c>
      <c r="AY620">
        <v>3.3800000000000002E-3</v>
      </c>
      <c r="AZ620">
        <v>-6.4999999999999997E-4</v>
      </c>
      <c r="BA620">
        <v>4.6980000000000001E-2</v>
      </c>
      <c r="BB620">
        <v>1</v>
      </c>
      <c r="BC620" t="s">
        <v>70</v>
      </c>
      <c r="BD620">
        <v>-0.19700000000000001</v>
      </c>
      <c r="BE620">
        <v>-0.19700000000000001</v>
      </c>
      <c r="BF620" t="s">
        <v>71</v>
      </c>
      <c r="BG620">
        <v>0.14893617021276501</v>
      </c>
      <c r="BI620">
        <v>9</v>
      </c>
      <c r="BJ620">
        <v>4.6980000000000001E-2</v>
      </c>
      <c r="BK620">
        <v>0.14893617021276501</v>
      </c>
    </row>
    <row r="621" spans="1:63">
      <c r="A621">
        <v>3450</v>
      </c>
      <c r="B621" t="s">
        <v>3459</v>
      </c>
      <c r="D621" t="s">
        <v>66</v>
      </c>
      <c r="E621">
        <v>3476558</v>
      </c>
      <c r="F621">
        <v>3477847</v>
      </c>
      <c r="G621" t="s">
        <v>3461</v>
      </c>
      <c r="H621">
        <v>430</v>
      </c>
      <c r="I621" t="s">
        <v>63</v>
      </c>
      <c r="J621">
        <v>5</v>
      </c>
      <c r="K621" t="str">
        <f>HYPERLINK("Gene3450-zp_tree_all.dnd", "Gene3450-tree")</f>
        <v>Gene3450-tree</v>
      </c>
      <c r="L621">
        <v>4</v>
      </c>
      <c r="M621">
        <v>1</v>
      </c>
      <c r="N621">
        <v>4</v>
      </c>
      <c r="O621">
        <v>1</v>
      </c>
      <c r="P621">
        <v>0.2</v>
      </c>
      <c r="Q621" t="s">
        <v>64</v>
      </c>
      <c r="R621" t="s">
        <v>65</v>
      </c>
      <c r="S621" t="s">
        <v>66</v>
      </c>
      <c r="T621" t="s">
        <v>66</v>
      </c>
      <c r="U621">
        <v>0</v>
      </c>
      <c r="V621">
        <v>0</v>
      </c>
      <c r="W621">
        <v>5</v>
      </c>
      <c r="X621">
        <v>0</v>
      </c>
      <c r="Y621">
        <v>0</v>
      </c>
      <c r="Z621">
        <v>0</v>
      </c>
      <c r="AA621">
        <v>0</v>
      </c>
      <c r="AB621">
        <v>4</v>
      </c>
      <c r="AC621">
        <v>0</v>
      </c>
      <c r="AD621">
        <v>0</v>
      </c>
      <c r="AE621">
        <v>0</v>
      </c>
      <c r="AF621">
        <v>0</v>
      </c>
      <c r="AG621">
        <v>1</v>
      </c>
      <c r="AH621">
        <v>0</v>
      </c>
      <c r="AI621">
        <v>5</v>
      </c>
      <c r="AJ621">
        <v>1</v>
      </c>
      <c r="AK621">
        <v>22</v>
      </c>
      <c r="AL621">
        <v>1</v>
      </c>
      <c r="AM621">
        <v>18</v>
      </c>
      <c r="AN621">
        <v>7</v>
      </c>
      <c r="AO621" t="s">
        <v>3462</v>
      </c>
      <c r="AP621" t="s">
        <v>3463</v>
      </c>
      <c r="AQ621">
        <v>3.423</v>
      </c>
      <c r="AR621" t="s">
        <v>69</v>
      </c>
      <c r="AS621">
        <v>40</v>
      </c>
      <c r="AT621">
        <v>8</v>
      </c>
      <c r="AU621">
        <v>1.8530000000000001E-2</v>
      </c>
      <c r="AV621">
        <v>-3.65E-3</v>
      </c>
      <c r="AW621">
        <v>6.7250000000000004E-2</v>
      </c>
      <c r="AX621">
        <v>-1.277E-2</v>
      </c>
      <c r="AY621">
        <v>4.6899999999999997E-3</v>
      </c>
      <c r="AZ621">
        <v>-1.16E-3</v>
      </c>
      <c r="BA621">
        <v>6.9779999999999995E-2</v>
      </c>
      <c r="BB621">
        <v>1</v>
      </c>
      <c r="BC621" t="s">
        <v>70</v>
      </c>
      <c r="BD621">
        <v>0.44800000000000001</v>
      </c>
      <c r="BE621">
        <v>0.28100000000000003</v>
      </c>
      <c r="BF621" t="s">
        <v>71</v>
      </c>
      <c r="BG621">
        <v>-8.4889643463497404E-3</v>
      </c>
      <c r="BI621">
        <v>48</v>
      </c>
      <c r="BJ621">
        <v>6.9779999999999995E-2</v>
      </c>
      <c r="BK621">
        <v>-8.4889643463497404E-3</v>
      </c>
    </row>
    <row r="622" spans="1:63">
      <c r="A622">
        <v>3451</v>
      </c>
      <c r="B622" t="s">
        <v>3464</v>
      </c>
      <c r="D622" t="s">
        <v>66</v>
      </c>
      <c r="E622">
        <v>3477880</v>
      </c>
      <c r="F622">
        <v>3479412</v>
      </c>
      <c r="G622" t="s">
        <v>3466</v>
      </c>
      <c r="H622">
        <v>511</v>
      </c>
      <c r="I622" t="s">
        <v>63</v>
      </c>
      <c r="J622">
        <v>5</v>
      </c>
      <c r="K622" t="str">
        <f>HYPERLINK("Gene3451-zp_tree_all.dnd", "Gene3451-tree")</f>
        <v>Gene3451-tree</v>
      </c>
      <c r="L622">
        <v>3</v>
      </c>
      <c r="M622">
        <v>2</v>
      </c>
      <c r="N622">
        <v>3</v>
      </c>
      <c r="O622">
        <v>2</v>
      </c>
      <c r="P622">
        <v>0.4</v>
      </c>
      <c r="Q622" t="s">
        <v>86</v>
      </c>
      <c r="R622" t="s">
        <v>124</v>
      </c>
      <c r="S622" t="s">
        <v>66</v>
      </c>
      <c r="T622" t="s">
        <v>66</v>
      </c>
      <c r="U622">
        <v>1</v>
      </c>
      <c r="V622">
        <v>2</v>
      </c>
      <c r="W622">
        <v>12</v>
      </c>
      <c r="X622">
        <v>0.14285999999999999</v>
      </c>
      <c r="Y622">
        <v>0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13</v>
      </c>
      <c r="AH622">
        <v>0</v>
      </c>
      <c r="AI622">
        <v>5</v>
      </c>
      <c r="AJ622">
        <v>2</v>
      </c>
      <c r="AK622">
        <v>47</v>
      </c>
      <c r="AL622">
        <v>6</v>
      </c>
      <c r="AM622">
        <v>44</v>
      </c>
      <c r="AN622">
        <v>8</v>
      </c>
      <c r="AO622" t="s">
        <v>3467</v>
      </c>
      <c r="AP622" t="s">
        <v>3468</v>
      </c>
      <c r="AQ622">
        <v>0.26200000000000001</v>
      </c>
      <c r="AR622" t="s">
        <v>69</v>
      </c>
      <c r="AS622">
        <v>91</v>
      </c>
      <c r="AT622">
        <v>14</v>
      </c>
      <c r="AU622">
        <v>3.32E-2</v>
      </c>
      <c r="AV622">
        <v>-5.5500000000000002E-3</v>
      </c>
      <c r="AW622">
        <v>0.13827999999999999</v>
      </c>
      <c r="AX622">
        <v>-2.333E-2</v>
      </c>
      <c r="AY622">
        <v>5.9800000000000001E-3</v>
      </c>
      <c r="AZ622">
        <v>-1.1900000000000001E-3</v>
      </c>
      <c r="BA622">
        <v>4.326E-2</v>
      </c>
      <c r="BB622">
        <v>1</v>
      </c>
      <c r="BC622" t="s">
        <v>70</v>
      </c>
      <c r="BD622">
        <v>0.379</v>
      </c>
      <c r="BE622">
        <v>0.23799999999999999</v>
      </c>
      <c r="BF622" t="s">
        <v>71</v>
      </c>
      <c r="BG622">
        <v>1.54277699859747E-2</v>
      </c>
      <c r="BI622">
        <v>105</v>
      </c>
      <c r="BJ622">
        <v>4.326E-2</v>
      </c>
      <c r="BK622">
        <v>1.54277699859747E-2</v>
      </c>
    </row>
    <row r="623" spans="1:63">
      <c r="A623">
        <v>3452</v>
      </c>
      <c r="B623" t="s">
        <v>3469</v>
      </c>
      <c r="D623" t="s">
        <v>66</v>
      </c>
      <c r="E623">
        <v>3479408</v>
      </c>
      <c r="F623">
        <v>3480166</v>
      </c>
      <c r="G623" t="s">
        <v>3471</v>
      </c>
      <c r="H623">
        <v>253</v>
      </c>
      <c r="I623" t="s">
        <v>63</v>
      </c>
      <c r="J623">
        <v>5</v>
      </c>
      <c r="K623" t="str">
        <f>HYPERLINK("Gene3452-zp_tree_all.dnd", "Gene3452-tree")</f>
        <v>Gene3452-tree</v>
      </c>
      <c r="L623">
        <v>2</v>
      </c>
      <c r="M623">
        <v>3</v>
      </c>
      <c r="N623">
        <v>2</v>
      </c>
      <c r="O623">
        <v>3</v>
      </c>
      <c r="P623">
        <v>0.6</v>
      </c>
      <c r="Q623" t="s">
        <v>124</v>
      </c>
      <c r="R623" t="s">
        <v>86</v>
      </c>
      <c r="S623" t="s">
        <v>66</v>
      </c>
      <c r="T623" t="s">
        <v>66</v>
      </c>
      <c r="U623">
        <v>1</v>
      </c>
      <c r="V623">
        <v>2</v>
      </c>
      <c r="W623">
        <v>2</v>
      </c>
      <c r="X623">
        <v>0.5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2</v>
      </c>
      <c r="AE623">
        <v>0</v>
      </c>
      <c r="AF623">
        <v>2</v>
      </c>
      <c r="AG623">
        <v>1</v>
      </c>
      <c r="AH623">
        <v>0.66666999999999998</v>
      </c>
      <c r="AI623">
        <v>5</v>
      </c>
      <c r="AJ623">
        <v>2</v>
      </c>
      <c r="AK623">
        <v>8</v>
      </c>
      <c r="AL623">
        <v>3</v>
      </c>
      <c r="AM623">
        <v>9</v>
      </c>
      <c r="AN623">
        <v>1</v>
      </c>
      <c r="AO623" t="s">
        <v>3472</v>
      </c>
      <c r="AP623" t="s">
        <v>3473</v>
      </c>
      <c r="AQ623">
        <v>0.78600000000000003</v>
      </c>
      <c r="AR623" t="s">
        <v>69</v>
      </c>
      <c r="AS623">
        <v>17</v>
      </c>
      <c r="AT623">
        <v>4</v>
      </c>
      <c r="AU623">
        <v>1.3440000000000001E-2</v>
      </c>
      <c r="AV623">
        <v>-2.31E-3</v>
      </c>
      <c r="AW623">
        <v>5.1790000000000003E-2</v>
      </c>
      <c r="AX623">
        <v>-9.6600000000000002E-3</v>
      </c>
      <c r="AY623">
        <v>2.7399999999999998E-3</v>
      </c>
      <c r="AZ623">
        <v>-5.0000000000000001E-4</v>
      </c>
      <c r="BA623">
        <v>5.2920000000000002E-2</v>
      </c>
      <c r="BB623">
        <v>1</v>
      </c>
      <c r="BC623" t="s">
        <v>70</v>
      </c>
      <c r="BD623">
        <v>0.46200000000000002</v>
      </c>
      <c r="BE623">
        <v>0.46200000000000002</v>
      </c>
      <c r="BF623" t="s">
        <v>71</v>
      </c>
      <c r="BG623">
        <v>6.0439560439560398E-2</v>
      </c>
      <c r="BI623">
        <v>21</v>
      </c>
      <c r="BJ623">
        <v>5.2920000000000002E-2</v>
      </c>
      <c r="BK623">
        <v>6.0439560439560398E-2</v>
      </c>
    </row>
    <row r="624" spans="1:63">
      <c r="A624">
        <v>3453</v>
      </c>
      <c r="B624" t="s">
        <v>3474</v>
      </c>
      <c r="D624" t="s">
        <v>66</v>
      </c>
      <c r="E624">
        <v>3480200</v>
      </c>
      <c r="F624">
        <v>3481381</v>
      </c>
      <c r="G624" t="s">
        <v>3476</v>
      </c>
      <c r="H624">
        <v>394</v>
      </c>
      <c r="I624" t="s">
        <v>63</v>
      </c>
      <c r="J624">
        <v>5</v>
      </c>
      <c r="K624" t="str">
        <f>HYPERLINK("Gene3453-zp_tree_all.dnd", "Gene3453-tree")</f>
        <v>Gene3453-tree</v>
      </c>
      <c r="L624">
        <v>4</v>
      </c>
      <c r="M624">
        <v>1</v>
      </c>
      <c r="N624">
        <v>4</v>
      </c>
      <c r="O624">
        <v>1</v>
      </c>
      <c r="P624">
        <v>0.2</v>
      </c>
      <c r="Q624" t="s">
        <v>64</v>
      </c>
      <c r="R624" t="s">
        <v>65</v>
      </c>
      <c r="S624" t="s">
        <v>66</v>
      </c>
      <c r="T624" t="s">
        <v>66</v>
      </c>
      <c r="U624">
        <v>0</v>
      </c>
      <c r="V624">
        <v>0</v>
      </c>
      <c r="W624">
        <v>5</v>
      </c>
      <c r="X624">
        <v>0</v>
      </c>
      <c r="Y624">
        <v>0</v>
      </c>
      <c r="Z624">
        <v>0</v>
      </c>
      <c r="AA624">
        <v>0</v>
      </c>
      <c r="AB624">
        <v>3</v>
      </c>
      <c r="AC624">
        <v>0</v>
      </c>
      <c r="AD624">
        <v>0</v>
      </c>
      <c r="AE624">
        <v>0</v>
      </c>
      <c r="AF624">
        <v>0</v>
      </c>
      <c r="AG624">
        <v>2</v>
      </c>
      <c r="AH624">
        <v>0</v>
      </c>
      <c r="AI624">
        <v>4</v>
      </c>
      <c r="AJ624">
        <v>2</v>
      </c>
      <c r="AK624">
        <v>15</v>
      </c>
      <c r="AL624">
        <v>2</v>
      </c>
      <c r="AM624">
        <v>16</v>
      </c>
      <c r="AN624">
        <v>3</v>
      </c>
      <c r="AO624" t="s">
        <v>3477</v>
      </c>
      <c r="AP624" t="s">
        <v>3478</v>
      </c>
      <c r="AQ624">
        <v>0.17499999999999999</v>
      </c>
      <c r="AR624" t="s">
        <v>69</v>
      </c>
      <c r="AS624">
        <v>31</v>
      </c>
      <c r="AT624">
        <v>5</v>
      </c>
      <c r="AU624">
        <v>1.464E-2</v>
      </c>
      <c r="AV624">
        <v>-2.31E-3</v>
      </c>
      <c r="AW624">
        <v>5.5509999999999997E-2</v>
      </c>
      <c r="AX624">
        <v>-8.9599999999999992E-3</v>
      </c>
      <c r="AY624">
        <v>2.8800000000000002E-3</v>
      </c>
      <c r="AZ624">
        <v>-4.8999999999999998E-4</v>
      </c>
      <c r="BA624">
        <v>5.1909999999999998E-2</v>
      </c>
      <c r="BB624">
        <v>1</v>
      </c>
      <c r="BC624" t="s">
        <v>70</v>
      </c>
      <c r="BD624">
        <v>0.69099999999999995</v>
      </c>
      <c r="BE624">
        <v>0.45400000000000001</v>
      </c>
      <c r="BF624" t="s">
        <v>71</v>
      </c>
      <c r="BG624">
        <v>8.3333333333333301E-2</v>
      </c>
      <c r="BI624">
        <v>36</v>
      </c>
      <c r="BJ624">
        <v>5.1909999999999998E-2</v>
      </c>
      <c r="BK624">
        <v>8.3333333333333301E-2</v>
      </c>
    </row>
    <row r="625" spans="1:63">
      <c r="A625">
        <v>3454</v>
      </c>
      <c r="B625" t="s">
        <v>3479</v>
      </c>
      <c r="D625" t="s">
        <v>66</v>
      </c>
      <c r="E625">
        <v>3481701</v>
      </c>
      <c r="F625">
        <v>3482705</v>
      </c>
      <c r="G625" t="s">
        <v>3481</v>
      </c>
      <c r="H625">
        <v>335</v>
      </c>
      <c r="I625" t="s">
        <v>63</v>
      </c>
      <c r="J625">
        <v>5</v>
      </c>
      <c r="K625" t="str">
        <f>HYPERLINK("Gene3454-zp_tree_all.dnd", "Gene3454-tree")</f>
        <v>Gene3454-tree</v>
      </c>
      <c r="L625">
        <v>5</v>
      </c>
      <c r="M625">
        <v>0</v>
      </c>
      <c r="N625">
        <v>4</v>
      </c>
      <c r="O625">
        <v>0</v>
      </c>
      <c r="P625">
        <v>0</v>
      </c>
      <c r="Q625" t="s">
        <v>135</v>
      </c>
      <c r="R625" t="s">
        <v>66</v>
      </c>
      <c r="S625" t="s">
        <v>66</v>
      </c>
      <c r="T625" t="s">
        <v>66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3</v>
      </c>
      <c r="AJ625">
        <v>1</v>
      </c>
      <c r="AK625">
        <v>10</v>
      </c>
      <c r="AL625">
        <v>0</v>
      </c>
      <c r="AM625">
        <v>3</v>
      </c>
      <c r="AN625">
        <v>0</v>
      </c>
      <c r="AO625" t="s">
        <v>68</v>
      </c>
      <c r="AP625" t="s">
        <v>68</v>
      </c>
      <c r="AQ625">
        <v>0</v>
      </c>
      <c r="AR625" t="s">
        <v>69</v>
      </c>
      <c r="AS625">
        <v>13</v>
      </c>
      <c r="AT625">
        <v>0</v>
      </c>
      <c r="AU625">
        <v>6.9699999999999996E-3</v>
      </c>
      <c r="AV625">
        <v>-1.1199999999999999E-3</v>
      </c>
      <c r="AW625">
        <v>2.9760000000000002E-2</v>
      </c>
      <c r="AX625">
        <v>-4.8300000000000001E-3</v>
      </c>
      <c r="AY625">
        <v>0</v>
      </c>
      <c r="AZ625">
        <v>0</v>
      </c>
      <c r="BA625">
        <v>0</v>
      </c>
      <c r="BB625">
        <v>1</v>
      </c>
      <c r="BC625" t="s">
        <v>70</v>
      </c>
      <c r="BD625">
        <v>-0.51200000000000001</v>
      </c>
      <c r="BE625">
        <v>-0.51200000000000001</v>
      </c>
      <c r="BF625" t="s">
        <v>71</v>
      </c>
      <c r="BG625">
        <v>-1.13895216400911E-2</v>
      </c>
      <c r="BI625">
        <v>13</v>
      </c>
      <c r="BJ625">
        <v>0</v>
      </c>
      <c r="BK625">
        <v>-1.13895216400911E-2</v>
      </c>
    </row>
    <row r="626" spans="1:63">
      <c r="A626">
        <v>3455</v>
      </c>
      <c r="B626" t="s">
        <v>3482</v>
      </c>
      <c r="D626" t="s">
        <v>66</v>
      </c>
      <c r="E626">
        <v>3482755</v>
      </c>
      <c r="F626">
        <v>3483774</v>
      </c>
      <c r="G626" t="s">
        <v>3484</v>
      </c>
      <c r="H626">
        <v>340</v>
      </c>
      <c r="I626" t="s">
        <v>63</v>
      </c>
      <c r="J626">
        <v>5</v>
      </c>
      <c r="K626" t="str">
        <f>HYPERLINK("Gene3455-zp_tree_all.dnd", "Gene3455-tree")</f>
        <v>Gene3455-tree</v>
      </c>
      <c r="L626">
        <v>2</v>
      </c>
      <c r="M626">
        <v>3</v>
      </c>
      <c r="N626">
        <v>2</v>
      </c>
      <c r="O626">
        <v>3</v>
      </c>
      <c r="P626">
        <v>0.6</v>
      </c>
      <c r="Q626" t="s">
        <v>124</v>
      </c>
      <c r="R626" t="s">
        <v>86</v>
      </c>
      <c r="S626" t="s">
        <v>66</v>
      </c>
      <c r="T626" t="s">
        <v>66</v>
      </c>
      <c r="U626">
        <v>0</v>
      </c>
      <c r="V626">
        <v>0</v>
      </c>
      <c r="W626">
        <v>3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3</v>
      </c>
      <c r="AH626">
        <v>0</v>
      </c>
      <c r="AI626">
        <v>5</v>
      </c>
      <c r="AJ626">
        <v>2</v>
      </c>
      <c r="AK626">
        <v>12</v>
      </c>
      <c r="AL626">
        <v>3</v>
      </c>
      <c r="AM626">
        <v>16</v>
      </c>
      <c r="AN626">
        <v>0</v>
      </c>
      <c r="AO626" t="s">
        <v>3485</v>
      </c>
      <c r="AP626" t="s">
        <v>68</v>
      </c>
      <c r="AQ626">
        <v>2.1070000000000002</v>
      </c>
      <c r="AR626" t="s">
        <v>239</v>
      </c>
      <c r="AS626">
        <v>28</v>
      </c>
      <c r="AT626">
        <v>3</v>
      </c>
      <c r="AU626">
        <v>1.529E-2</v>
      </c>
      <c r="AV626">
        <v>-2.5200000000000001E-3</v>
      </c>
      <c r="AW626">
        <v>6.5129999999999993E-2</v>
      </c>
      <c r="AX626">
        <v>-1.158E-2</v>
      </c>
      <c r="AY626">
        <v>1.5299999999999999E-3</v>
      </c>
      <c r="AZ626">
        <v>-2.4000000000000001E-4</v>
      </c>
      <c r="BA626">
        <v>2.3470000000000001E-2</v>
      </c>
      <c r="BB626">
        <v>1</v>
      </c>
      <c r="BC626" t="s">
        <v>70</v>
      </c>
      <c r="BD626">
        <v>0.36199999999999999</v>
      </c>
      <c r="BE626">
        <v>0.36199999999999999</v>
      </c>
      <c r="BF626" t="s">
        <v>71</v>
      </c>
      <c r="BG626">
        <v>0.134328358208955</v>
      </c>
      <c r="BI626">
        <v>31</v>
      </c>
      <c r="BJ626">
        <v>2.3470000000000001E-2</v>
      </c>
      <c r="BK626">
        <v>0.134328358208955</v>
      </c>
    </row>
    <row r="627" spans="1:63">
      <c r="A627">
        <v>3495</v>
      </c>
      <c r="B627" t="s">
        <v>3491</v>
      </c>
      <c r="D627" t="s">
        <v>66</v>
      </c>
      <c r="E627">
        <v>3528465</v>
      </c>
      <c r="F627">
        <v>3529145</v>
      </c>
      <c r="G627" t="s">
        <v>3493</v>
      </c>
      <c r="H627">
        <v>227</v>
      </c>
      <c r="I627" t="s">
        <v>63</v>
      </c>
      <c r="J627">
        <v>5</v>
      </c>
      <c r="K627" t="str">
        <f>HYPERLINK("Gene3495-zp_tree_all.dnd", "Gene3495-tree")</f>
        <v>Gene3495-tree</v>
      </c>
      <c r="L627">
        <v>3</v>
      </c>
      <c r="M627">
        <v>2</v>
      </c>
      <c r="N627">
        <v>2</v>
      </c>
      <c r="O627">
        <v>2</v>
      </c>
      <c r="P627">
        <v>0.5</v>
      </c>
      <c r="Q627" t="s">
        <v>185</v>
      </c>
      <c r="R627" t="s">
        <v>124</v>
      </c>
      <c r="S627" t="s">
        <v>66</v>
      </c>
      <c r="T627" t="s">
        <v>66</v>
      </c>
      <c r="U627">
        <v>1</v>
      </c>
      <c r="V627">
        <v>2</v>
      </c>
      <c r="W627">
        <v>4</v>
      </c>
      <c r="X627">
        <v>0.33333000000000002</v>
      </c>
      <c r="Y627">
        <v>0</v>
      </c>
      <c r="Z627">
        <v>0</v>
      </c>
      <c r="AA627">
        <v>0</v>
      </c>
      <c r="AB627">
        <v>3</v>
      </c>
      <c r="AC627">
        <v>0</v>
      </c>
      <c r="AD627">
        <v>0</v>
      </c>
      <c r="AE627">
        <v>2</v>
      </c>
      <c r="AF627">
        <v>2</v>
      </c>
      <c r="AG627">
        <v>1</v>
      </c>
      <c r="AH627">
        <v>0.66666999999999998</v>
      </c>
      <c r="AI627">
        <v>4</v>
      </c>
      <c r="AJ627">
        <v>1</v>
      </c>
      <c r="AK627">
        <v>23</v>
      </c>
      <c r="AL627">
        <v>3</v>
      </c>
      <c r="AM627">
        <v>15</v>
      </c>
      <c r="AN627">
        <v>3</v>
      </c>
      <c r="AO627" t="s">
        <v>3494</v>
      </c>
      <c r="AP627" t="s">
        <v>3495</v>
      </c>
      <c r="AQ627">
        <v>0.627</v>
      </c>
      <c r="AR627" t="s">
        <v>69</v>
      </c>
      <c r="AS627">
        <v>38</v>
      </c>
      <c r="AT627">
        <v>6</v>
      </c>
      <c r="AU627">
        <v>3.524E-2</v>
      </c>
      <c r="AV627">
        <v>-5.5999999999999999E-3</v>
      </c>
      <c r="AW627">
        <v>0.13780999999999999</v>
      </c>
      <c r="AX627">
        <v>-2.155E-2</v>
      </c>
      <c r="AY627">
        <v>6.5100000000000002E-3</v>
      </c>
      <c r="AZ627">
        <v>-9.3999999999999997E-4</v>
      </c>
      <c r="BA627">
        <v>4.725E-2</v>
      </c>
      <c r="BB627">
        <v>1</v>
      </c>
      <c r="BC627" t="s">
        <v>70</v>
      </c>
      <c r="BD627">
        <v>0.78300000000000003</v>
      </c>
      <c r="BE627">
        <v>7.8E-2</v>
      </c>
      <c r="BF627" t="s">
        <v>71</v>
      </c>
      <c r="BG627">
        <v>-6.4935064935064896E-3</v>
      </c>
      <c r="BI627">
        <v>44</v>
      </c>
      <c r="BJ627">
        <v>4.725E-2</v>
      </c>
      <c r="BK627">
        <v>-6.4935064935064896E-3</v>
      </c>
    </row>
    <row r="628" spans="1:63">
      <c r="A628">
        <v>3496</v>
      </c>
      <c r="B628" t="s">
        <v>3496</v>
      </c>
      <c r="D628" t="s">
        <v>66</v>
      </c>
      <c r="E628">
        <v>3529154</v>
      </c>
      <c r="F628">
        <v>3529855</v>
      </c>
      <c r="G628" t="s">
        <v>74</v>
      </c>
      <c r="H628">
        <v>234</v>
      </c>
      <c r="I628" t="s">
        <v>63</v>
      </c>
      <c r="J628">
        <v>5</v>
      </c>
      <c r="K628" t="str">
        <f>HYPERLINK("Gene3496-zp_tree_all.dnd", "Gene3496-tree")</f>
        <v>Gene3496-tree</v>
      </c>
      <c r="L628">
        <v>2</v>
      </c>
      <c r="M628">
        <v>3</v>
      </c>
      <c r="N628">
        <v>2</v>
      </c>
      <c r="O628">
        <v>3</v>
      </c>
      <c r="P628">
        <v>0.6</v>
      </c>
      <c r="Q628" t="s">
        <v>124</v>
      </c>
      <c r="R628" t="s">
        <v>86</v>
      </c>
      <c r="S628" t="s">
        <v>66</v>
      </c>
      <c r="T628" t="s">
        <v>66</v>
      </c>
      <c r="U628">
        <v>1</v>
      </c>
      <c r="V628">
        <v>2</v>
      </c>
      <c r="W628">
        <v>10</v>
      </c>
      <c r="X628">
        <v>0.16667000000000001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2</v>
      </c>
      <c r="AE628">
        <v>0</v>
      </c>
      <c r="AF628">
        <v>2</v>
      </c>
      <c r="AG628">
        <v>10</v>
      </c>
      <c r="AH628">
        <v>0.16667000000000001</v>
      </c>
      <c r="AI628">
        <v>5</v>
      </c>
      <c r="AJ628">
        <v>2</v>
      </c>
      <c r="AK628">
        <v>23</v>
      </c>
      <c r="AL628">
        <v>7</v>
      </c>
      <c r="AM628">
        <v>17</v>
      </c>
      <c r="AN628">
        <v>5</v>
      </c>
      <c r="AO628" t="s">
        <v>3498</v>
      </c>
      <c r="AP628" t="s">
        <v>3499</v>
      </c>
      <c r="AQ628">
        <v>6.8000000000000005E-2</v>
      </c>
      <c r="AR628" t="s">
        <v>69</v>
      </c>
      <c r="AS628">
        <v>40</v>
      </c>
      <c r="AT628">
        <v>12</v>
      </c>
      <c r="AU628">
        <v>3.39E-2</v>
      </c>
      <c r="AV628">
        <v>-4.4000000000000003E-3</v>
      </c>
      <c r="AW628">
        <v>0.13166</v>
      </c>
      <c r="AX628">
        <v>-1.9E-2</v>
      </c>
      <c r="AY628">
        <v>9.9500000000000005E-3</v>
      </c>
      <c r="AZ628">
        <v>-1.39E-3</v>
      </c>
      <c r="BA628">
        <v>7.5579999999999994E-2</v>
      </c>
      <c r="BB628">
        <v>1</v>
      </c>
      <c r="BC628" t="s">
        <v>70</v>
      </c>
      <c r="BD628">
        <v>0.58699999999999997</v>
      </c>
      <c r="BE628">
        <v>0.109</v>
      </c>
      <c r="BF628" t="s">
        <v>71</v>
      </c>
      <c r="BG628">
        <v>0.107692307692307</v>
      </c>
      <c r="BI628">
        <v>52</v>
      </c>
      <c r="BJ628">
        <v>7.5579999999999994E-2</v>
      </c>
      <c r="BK628">
        <v>0.107692307692307</v>
      </c>
    </row>
    <row r="629" spans="1:63">
      <c r="A629">
        <v>3499</v>
      </c>
      <c r="B629" t="s">
        <v>3500</v>
      </c>
      <c r="D629" t="s">
        <v>66</v>
      </c>
      <c r="E629">
        <v>3532328</v>
      </c>
      <c r="F629">
        <v>3532810</v>
      </c>
      <c r="G629" t="s">
        <v>3502</v>
      </c>
      <c r="H629">
        <v>161</v>
      </c>
      <c r="I629" t="s">
        <v>63</v>
      </c>
      <c r="J629">
        <v>5</v>
      </c>
      <c r="K629" t="str">
        <f>HYPERLINK("Gene3499-zp_tree_all.dnd", "Gene3499-tree")</f>
        <v>Gene3499-tree</v>
      </c>
      <c r="L629">
        <v>2</v>
      </c>
      <c r="M629">
        <v>3</v>
      </c>
      <c r="N629">
        <v>2</v>
      </c>
      <c r="O629">
        <v>2</v>
      </c>
      <c r="P629">
        <v>0.5</v>
      </c>
      <c r="Q629" t="s">
        <v>124</v>
      </c>
      <c r="R629" t="s">
        <v>185</v>
      </c>
      <c r="S629">
        <v>0.30599999999999999</v>
      </c>
      <c r="T629" t="s">
        <v>69</v>
      </c>
      <c r="U629">
        <v>0</v>
      </c>
      <c r="V629">
        <v>0</v>
      </c>
      <c r="W629">
        <v>2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2</v>
      </c>
      <c r="AH629">
        <v>0</v>
      </c>
      <c r="AI629">
        <v>4</v>
      </c>
      <c r="AJ629">
        <v>1</v>
      </c>
      <c r="AK629">
        <v>12</v>
      </c>
      <c r="AL629">
        <v>2</v>
      </c>
      <c r="AM629">
        <v>11</v>
      </c>
      <c r="AN629">
        <v>0</v>
      </c>
      <c r="AO629" t="s">
        <v>3503</v>
      </c>
      <c r="AP629" t="s">
        <v>68</v>
      </c>
      <c r="AQ629">
        <v>1.18</v>
      </c>
      <c r="AR629" t="s">
        <v>69</v>
      </c>
      <c r="AS629">
        <v>23</v>
      </c>
      <c r="AT629">
        <v>2</v>
      </c>
      <c r="AU629">
        <v>2.9860000000000001E-2</v>
      </c>
      <c r="AV629">
        <v>-4.9500000000000004E-3</v>
      </c>
      <c r="AW629">
        <v>0.14938000000000001</v>
      </c>
      <c r="AX629">
        <v>-2.8150000000000001E-2</v>
      </c>
      <c r="AY629">
        <v>2.64E-3</v>
      </c>
      <c r="AZ629">
        <v>-6.2E-4</v>
      </c>
      <c r="BA629">
        <v>1.7680000000000001E-2</v>
      </c>
      <c r="BB629">
        <v>1</v>
      </c>
      <c r="BC629" t="s">
        <v>70</v>
      </c>
      <c r="BD629">
        <v>0.372</v>
      </c>
      <c r="BE629">
        <v>0.372</v>
      </c>
      <c r="BF629" t="s">
        <v>71</v>
      </c>
      <c r="BG629">
        <v>0.168421052631578</v>
      </c>
      <c r="BI629">
        <v>25</v>
      </c>
      <c r="BJ629">
        <v>1.7680000000000001E-2</v>
      </c>
      <c r="BK629">
        <v>0.168421052631578</v>
      </c>
    </row>
    <row r="630" spans="1:63">
      <c r="A630">
        <v>3535</v>
      </c>
      <c r="B630" t="s">
        <v>3523</v>
      </c>
      <c r="D630" t="s">
        <v>66</v>
      </c>
      <c r="E630">
        <v>3569576</v>
      </c>
      <c r="F630">
        <v>3570523</v>
      </c>
      <c r="G630" t="s">
        <v>3525</v>
      </c>
      <c r="H630">
        <v>316</v>
      </c>
      <c r="I630" t="s">
        <v>63</v>
      </c>
      <c r="J630">
        <v>5</v>
      </c>
      <c r="K630" t="str">
        <f>HYPERLINK("Gene3535-zp_tree_all.dnd", "Gene3535-tree")</f>
        <v>Gene3535-tree</v>
      </c>
      <c r="L630">
        <v>5</v>
      </c>
      <c r="M630">
        <v>0</v>
      </c>
      <c r="N630">
        <v>5</v>
      </c>
      <c r="O630">
        <v>0</v>
      </c>
      <c r="P630">
        <v>0</v>
      </c>
      <c r="Q630" t="s">
        <v>96</v>
      </c>
      <c r="R630" t="s">
        <v>66</v>
      </c>
      <c r="S630" t="s">
        <v>66</v>
      </c>
      <c r="T630" t="s">
        <v>66</v>
      </c>
      <c r="U630">
        <v>0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5</v>
      </c>
      <c r="AJ630">
        <v>2</v>
      </c>
      <c r="AK630">
        <v>21</v>
      </c>
      <c r="AL630">
        <v>0</v>
      </c>
      <c r="AM630">
        <v>30</v>
      </c>
      <c r="AN630">
        <v>1</v>
      </c>
      <c r="AO630" t="s">
        <v>68</v>
      </c>
      <c r="AP630" t="s">
        <v>3526</v>
      </c>
      <c r="AQ630">
        <v>0.96299999999999997</v>
      </c>
      <c r="AR630" t="s">
        <v>69</v>
      </c>
      <c r="AS630">
        <v>51</v>
      </c>
      <c r="AT630">
        <v>1</v>
      </c>
      <c r="AU630">
        <v>2.69E-2</v>
      </c>
      <c r="AV630">
        <v>-4.28E-3</v>
      </c>
      <c r="AW630">
        <v>0.12792000000000001</v>
      </c>
      <c r="AX630">
        <v>-2.1000000000000001E-2</v>
      </c>
      <c r="AY630">
        <v>8.1999999999999998E-4</v>
      </c>
      <c r="AZ630">
        <v>-2.0000000000000001E-4</v>
      </c>
      <c r="BA630">
        <v>6.4200000000000004E-3</v>
      </c>
      <c r="BB630">
        <v>1</v>
      </c>
      <c r="BC630" t="s">
        <v>70</v>
      </c>
      <c r="BD630">
        <v>0.80500000000000005</v>
      </c>
      <c r="BE630">
        <v>0.51100000000000001</v>
      </c>
      <c r="BF630" t="s">
        <v>71</v>
      </c>
      <c r="BG630">
        <v>0.124378109452736</v>
      </c>
      <c r="BI630">
        <v>52</v>
      </c>
      <c r="BJ630">
        <v>6.4200000000000004E-3</v>
      </c>
      <c r="BK630">
        <v>0.124378109452736</v>
      </c>
    </row>
    <row r="631" spans="1:63">
      <c r="A631">
        <v>3536</v>
      </c>
      <c r="B631" t="s">
        <v>3527</v>
      </c>
      <c r="D631" t="s">
        <v>66</v>
      </c>
      <c r="E631">
        <v>3570549</v>
      </c>
      <c r="F631">
        <v>3571499</v>
      </c>
      <c r="G631" t="s">
        <v>74</v>
      </c>
      <c r="H631">
        <v>317</v>
      </c>
      <c r="I631" t="s">
        <v>63</v>
      </c>
      <c r="J631">
        <v>5</v>
      </c>
      <c r="K631" t="str">
        <f>HYPERLINK("Gene3536-zp_tree_all.dnd", "Gene3536-tree")</f>
        <v>Gene3536-tree</v>
      </c>
      <c r="L631">
        <v>3</v>
      </c>
      <c r="M631">
        <v>2</v>
      </c>
      <c r="N631">
        <v>3</v>
      </c>
      <c r="O631">
        <v>2</v>
      </c>
      <c r="P631">
        <v>0.4</v>
      </c>
      <c r="Q631" t="s">
        <v>86</v>
      </c>
      <c r="R631" t="s">
        <v>124</v>
      </c>
      <c r="S631" t="s">
        <v>66</v>
      </c>
      <c r="T631" t="s">
        <v>66</v>
      </c>
      <c r="U631">
        <v>0</v>
      </c>
      <c r="V631">
        <v>0</v>
      </c>
      <c r="W631">
        <v>8</v>
      </c>
      <c r="X631">
        <v>0</v>
      </c>
      <c r="Y631">
        <v>0</v>
      </c>
      <c r="Z631">
        <v>0</v>
      </c>
      <c r="AA631">
        <v>0</v>
      </c>
      <c r="AB631">
        <v>2</v>
      </c>
      <c r="AC631">
        <v>0</v>
      </c>
      <c r="AD631">
        <v>0</v>
      </c>
      <c r="AE631">
        <v>0</v>
      </c>
      <c r="AF631">
        <v>0</v>
      </c>
      <c r="AG631">
        <v>6</v>
      </c>
      <c r="AH631">
        <v>0</v>
      </c>
      <c r="AI631">
        <v>5</v>
      </c>
      <c r="AJ631">
        <v>2</v>
      </c>
      <c r="AK631">
        <v>37</v>
      </c>
      <c r="AL631">
        <v>6</v>
      </c>
      <c r="AM631">
        <v>24</v>
      </c>
      <c r="AN631">
        <v>2</v>
      </c>
      <c r="AO631" t="s">
        <v>3529</v>
      </c>
      <c r="AP631" t="s">
        <v>3530</v>
      </c>
      <c r="AQ631">
        <v>0.42199999999999999</v>
      </c>
      <c r="AR631" t="s">
        <v>69</v>
      </c>
      <c r="AS631">
        <v>61</v>
      </c>
      <c r="AT631">
        <v>8</v>
      </c>
      <c r="AU631">
        <v>3.3860000000000001E-2</v>
      </c>
      <c r="AV631">
        <v>-4.9500000000000004E-3</v>
      </c>
      <c r="AW631">
        <v>0.14371</v>
      </c>
      <c r="AX631">
        <v>-2.299E-2</v>
      </c>
      <c r="AY631">
        <v>4.9699999999999996E-3</v>
      </c>
      <c r="AZ631">
        <v>-1.0200000000000001E-3</v>
      </c>
      <c r="BA631">
        <v>3.4610000000000002E-2</v>
      </c>
      <c r="BB631">
        <v>1</v>
      </c>
      <c r="BC631" t="s">
        <v>70</v>
      </c>
      <c r="BD631">
        <v>0.124</v>
      </c>
      <c r="BE631">
        <v>2.9000000000000001E-2</v>
      </c>
      <c r="BF631" t="s">
        <v>71</v>
      </c>
      <c r="BG631">
        <v>9.4170403587443899E-2</v>
      </c>
      <c r="BI631">
        <v>69</v>
      </c>
      <c r="BJ631">
        <v>3.4610000000000002E-2</v>
      </c>
      <c r="BK631">
        <v>9.4170403587443899E-2</v>
      </c>
    </row>
    <row r="632" spans="1:63">
      <c r="A632">
        <v>3537</v>
      </c>
      <c r="B632" t="s">
        <v>3531</v>
      </c>
      <c r="D632" t="s">
        <v>66</v>
      </c>
      <c r="E632">
        <v>3571504</v>
      </c>
      <c r="F632">
        <v>3572388</v>
      </c>
      <c r="G632" t="s">
        <v>3533</v>
      </c>
      <c r="H632">
        <v>295</v>
      </c>
      <c r="I632" t="s">
        <v>85</v>
      </c>
      <c r="J632">
        <v>4</v>
      </c>
      <c r="K632" t="str">
        <f>HYPERLINK("Gene3537-zp_tree_all.dnd", "Gene3537-tree")</f>
        <v>Gene3537-tree</v>
      </c>
      <c r="L632">
        <v>3</v>
      </c>
      <c r="M632">
        <v>1</v>
      </c>
      <c r="N632">
        <v>3</v>
      </c>
      <c r="O632">
        <v>1</v>
      </c>
      <c r="P632">
        <v>0.25</v>
      </c>
      <c r="Q632" t="s">
        <v>86</v>
      </c>
      <c r="R632" t="s">
        <v>65</v>
      </c>
      <c r="S632" t="s">
        <v>66</v>
      </c>
      <c r="T632" t="s">
        <v>66</v>
      </c>
      <c r="U632">
        <v>0</v>
      </c>
      <c r="V632">
        <v>0</v>
      </c>
      <c r="W632">
        <v>4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4</v>
      </c>
      <c r="AH632">
        <v>0</v>
      </c>
      <c r="AI632">
        <v>4</v>
      </c>
      <c r="AJ632">
        <v>1</v>
      </c>
      <c r="AK632">
        <v>46</v>
      </c>
      <c r="AL632">
        <v>5</v>
      </c>
      <c r="AM632">
        <v>3</v>
      </c>
      <c r="AN632">
        <v>0</v>
      </c>
      <c r="AO632" t="s">
        <v>3534</v>
      </c>
      <c r="AP632" t="s">
        <v>68</v>
      </c>
      <c r="AQ632">
        <v>0.48</v>
      </c>
      <c r="AR632" t="s">
        <v>69</v>
      </c>
      <c r="AS632">
        <v>49</v>
      </c>
      <c r="AT632">
        <v>5</v>
      </c>
      <c r="AU632">
        <v>3.0700000000000002E-2</v>
      </c>
      <c r="AV632">
        <v>-7.6699999999999997E-3</v>
      </c>
      <c r="AW632">
        <v>0.13982</v>
      </c>
      <c r="AX632">
        <v>-3.4770000000000002E-2</v>
      </c>
      <c r="AY632">
        <v>3.6700000000000001E-3</v>
      </c>
      <c r="AZ632">
        <v>-1.5E-3</v>
      </c>
      <c r="BA632">
        <v>2.622E-2</v>
      </c>
      <c r="BB632">
        <v>1</v>
      </c>
      <c r="BC632" t="s">
        <v>70</v>
      </c>
      <c r="BD632">
        <v>-0.628</v>
      </c>
      <c r="BE632">
        <v>-0.628</v>
      </c>
      <c r="BF632" t="s">
        <v>71</v>
      </c>
      <c r="BG632">
        <v>9.5477386934673295E-2</v>
      </c>
      <c r="BI632">
        <v>54</v>
      </c>
      <c r="BJ632">
        <v>2.622E-2</v>
      </c>
      <c r="BK632">
        <v>9.5477386934673295E-2</v>
      </c>
    </row>
    <row r="633" spans="1:63">
      <c r="A633">
        <v>3539</v>
      </c>
      <c r="B633" t="s">
        <v>3535</v>
      </c>
      <c r="D633" t="s">
        <v>66</v>
      </c>
      <c r="E633">
        <v>3573210</v>
      </c>
      <c r="F633">
        <v>3574157</v>
      </c>
      <c r="G633" t="s">
        <v>716</v>
      </c>
      <c r="H633">
        <v>316</v>
      </c>
      <c r="I633" t="s">
        <v>85</v>
      </c>
      <c r="J633">
        <v>4</v>
      </c>
      <c r="K633" t="str">
        <f>HYPERLINK("Gene3539-zp_tree_all.dnd", "Gene3539-tree")</f>
        <v>Gene3539-tree</v>
      </c>
      <c r="L633">
        <v>3</v>
      </c>
      <c r="M633">
        <v>1</v>
      </c>
      <c r="N633">
        <v>3</v>
      </c>
      <c r="O633">
        <v>1</v>
      </c>
      <c r="P633">
        <v>0.25</v>
      </c>
      <c r="Q633" t="s">
        <v>86</v>
      </c>
      <c r="R633" t="s">
        <v>65</v>
      </c>
      <c r="S633" t="s">
        <v>66</v>
      </c>
      <c r="T633" t="s">
        <v>66</v>
      </c>
      <c r="U633">
        <v>0</v>
      </c>
      <c r="V633">
        <v>0</v>
      </c>
      <c r="W633">
        <v>2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0</v>
      </c>
      <c r="AD633">
        <v>0</v>
      </c>
      <c r="AE633">
        <v>0</v>
      </c>
      <c r="AF633">
        <v>0</v>
      </c>
      <c r="AG633">
        <v>1</v>
      </c>
      <c r="AH633">
        <v>0</v>
      </c>
      <c r="AI633">
        <v>3</v>
      </c>
      <c r="AJ633">
        <v>1</v>
      </c>
      <c r="AK633">
        <v>41</v>
      </c>
      <c r="AL633">
        <v>1</v>
      </c>
      <c r="AM633">
        <v>10</v>
      </c>
      <c r="AN633">
        <v>1</v>
      </c>
      <c r="AO633" t="s">
        <v>3537</v>
      </c>
      <c r="AP633" t="s">
        <v>3538</v>
      </c>
      <c r="AQ633">
        <v>1.9770000000000001</v>
      </c>
      <c r="AR633" t="s">
        <v>69</v>
      </c>
      <c r="AS633">
        <v>51</v>
      </c>
      <c r="AT633">
        <v>2</v>
      </c>
      <c r="AU633">
        <v>2.954E-2</v>
      </c>
      <c r="AV633">
        <v>-6.45E-3</v>
      </c>
      <c r="AW633">
        <v>0.13552</v>
      </c>
      <c r="AX633">
        <v>-3.175E-2</v>
      </c>
      <c r="AY633">
        <v>1.6100000000000001E-3</v>
      </c>
      <c r="AZ633">
        <v>-3.8999999999999999E-4</v>
      </c>
      <c r="BA633">
        <v>1.188E-2</v>
      </c>
      <c r="BB633">
        <v>1</v>
      </c>
      <c r="BC633" t="s">
        <v>70</v>
      </c>
      <c r="BD633">
        <v>-0.13300000000000001</v>
      </c>
      <c r="BE633">
        <v>-0.317</v>
      </c>
      <c r="BF633" t="s">
        <v>71</v>
      </c>
      <c r="BG633">
        <v>0.14285714285714199</v>
      </c>
      <c r="BI633">
        <v>53</v>
      </c>
      <c r="BJ633">
        <v>1.188E-2</v>
      </c>
      <c r="BK633">
        <v>0.14285714285714199</v>
      </c>
    </row>
    <row r="634" spans="1:63">
      <c r="A634">
        <v>3541</v>
      </c>
      <c r="B634" t="s">
        <v>3539</v>
      </c>
      <c r="D634" t="s">
        <v>66</v>
      </c>
      <c r="E634">
        <v>3576168</v>
      </c>
      <c r="F634">
        <v>3577619</v>
      </c>
      <c r="G634" t="s">
        <v>3541</v>
      </c>
      <c r="H634">
        <v>484</v>
      </c>
      <c r="I634" t="s">
        <v>85</v>
      </c>
      <c r="J634">
        <v>4</v>
      </c>
      <c r="K634" t="str">
        <f>HYPERLINK("Gene3541-zp_tree_all.dnd", "Gene3541-tree")</f>
        <v>Gene3541-tree</v>
      </c>
      <c r="L634">
        <v>0</v>
      </c>
      <c r="M634">
        <v>4</v>
      </c>
      <c r="N634">
        <v>0</v>
      </c>
      <c r="O634">
        <v>4</v>
      </c>
      <c r="P634">
        <v>1</v>
      </c>
      <c r="Q634" t="s">
        <v>66</v>
      </c>
      <c r="R634" t="s">
        <v>64</v>
      </c>
      <c r="S634" t="s">
        <v>66</v>
      </c>
      <c r="T634" t="s">
        <v>66</v>
      </c>
      <c r="U634">
        <v>0</v>
      </c>
      <c r="V634">
        <v>0</v>
      </c>
      <c r="W634">
        <v>10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10</v>
      </c>
      <c r="AH634">
        <v>0</v>
      </c>
      <c r="AI634">
        <v>4</v>
      </c>
      <c r="AJ634">
        <v>1</v>
      </c>
      <c r="AK634">
        <v>65</v>
      </c>
      <c r="AL634">
        <v>9</v>
      </c>
      <c r="AM634">
        <v>4</v>
      </c>
      <c r="AN634">
        <v>1</v>
      </c>
      <c r="AO634" t="s">
        <v>3542</v>
      </c>
      <c r="AP634" t="s">
        <v>3543</v>
      </c>
      <c r="AQ634">
        <v>0.83199999999999996</v>
      </c>
      <c r="AR634" t="s">
        <v>69</v>
      </c>
      <c r="AS634">
        <v>69</v>
      </c>
      <c r="AT634">
        <v>10</v>
      </c>
      <c r="AU634">
        <v>2.7320000000000001E-2</v>
      </c>
      <c r="AV634">
        <v>-7.2899999999999996E-3</v>
      </c>
      <c r="AW634">
        <v>0.11771</v>
      </c>
      <c r="AX634">
        <v>-3.4709999999999998E-2</v>
      </c>
      <c r="AY634">
        <v>4.62E-3</v>
      </c>
      <c r="AZ634">
        <v>-7.1000000000000002E-4</v>
      </c>
      <c r="BA634">
        <v>3.9230000000000001E-2</v>
      </c>
      <c r="BB634">
        <v>1</v>
      </c>
      <c r="BC634" t="s">
        <v>70</v>
      </c>
      <c r="BD634">
        <v>-0.57999999999999996</v>
      </c>
      <c r="BE634">
        <v>-0.82899999999999996</v>
      </c>
      <c r="BF634" t="s">
        <v>71</v>
      </c>
      <c r="BG634">
        <v>8.4084084084083993E-2</v>
      </c>
      <c r="BI634">
        <v>79</v>
      </c>
      <c r="BJ634">
        <v>3.9230000000000001E-2</v>
      </c>
      <c r="BK634">
        <v>8.4084084084083993E-2</v>
      </c>
    </row>
    <row r="635" spans="1:63">
      <c r="A635">
        <v>3578</v>
      </c>
      <c r="B635" t="s">
        <v>3544</v>
      </c>
      <c r="D635" t="s">
        <v>66</v>
      </c>
      <c r="E635">
        <v>3615119</v>
      </c>
      <c r="F635">
        <v>3615346</v>
      </c>
      <c r="G635" t="s">
        <v>3546</v>
      </c>
      <c r="H635">
        <v>76</v>
      </c>
      <c r="I635" t="s">
        <v>63</v>
      </c>
      <c r="J635">
        <v>5</v>
      </c>
      <c r="K635" t="str">
        <f>HYPERLINK("Gene3578-zp_tree_all.dnd", "Gene3578-tree")</f>
        <v>Gene3578-tree</v>
      </c>
      <c r="L635">
        <v>4</v>
      </c>
      <c r="M635">
        <v>1</v>
      </c>
      <c r="N635">
        <v>3</v>
      </c>
      <c r="O635">
        <v>1</v>
      </c>
      <c r="P635">
        <v>0.25</v>
      </c>
      <c r="Q635" t="s">
        <v>112</v>
      </c>
      <c r="R635" t="s">
        <v>65</v>
      </c>
      <c r="S635" t="s">
        <v>66</v>
      </c>
      <c r="T635" t="s">
        <v>66</v>
      </c>
      <c r="U635">
        <v>0</v>
      </c>
      <c r="V635">
        <v>0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3</v>
      </c>
      <c r="AJ635">
        <v>1</v>
      </c>
      <c r="AK635">
        <v>4</v>
      </c>
      <c r="AL635">
        <v>1</v>
      </c>
      <c r="AM635">
        <v>4</v>
      </c>
      <c r="AN635">
        <v>0</v>
      </c>
      <c r="AO635" t="s">
        <v>3547</v>
      </c>
      <c r="AP635" t="s">
        <v>68</v>
      </c>
      <c r="AQ635">
        <v>0.69299999999999995</v>
      </c>
      <c r="AR635" t="s">
        <v>69</v>
      </c>
      <c r="AS635">
        <v>8</v>
      </c>
      <c r="AT635">
        <v>1</v>
      </c>
      <c r="AU635">
        <v>2.266E-2</v>
      </c>
      <c r="AV635">
        <v>-3.79E-3</v>
      </c>
      <c r="AW635">
        <v>8.0060000000000006E-2</v>
      </c>
      <c r="AX635">
        <v>-1.4840000000000001E-2</v>
      </c>
      <c r="AY635">
        <v>4.9199999999999999E-3</v>
      </c>
      <c r="AZ635">
        <v>-1.4400000000000001E-3</v>
      </c>
      <c r="BA635">
        <v>6.1440000000000002E-2</v>
      </c>
      <c r="BB635">
        <v>1</v>
      </c>
      <c r="BC635" t="s">
        <v>70</v>
      </c>
      <c r="BD635">
        <v>0.13200000000000001</v>
      </c>
      <c r="BE635">
        <v>0.13200000000000001</v>
      </c>
      <c r="BF635" t="s">
        <v>71</v>
      </c>
      <c r="BG635">
        <v>0.14285714285714199</v>
      </c>
      <c r="BI635">
        <v>9</v>
      </c>
      <c r="BJ635">
        <v>6.1440000000000002E-2</v>
      </c>
      <c r="BK635">
        <v>0.14285714285714199</v>
      </c>
    </row>
    <row r="636" spans="1:63">
      <c r="A636">
        <v>3584</v>
      </c>
      <c r="B636" t="s">
        <v>3548</v>
      </c>
      <c r="D636" t="s">
        <v>66</v>
      </c>
      <c r="E636">
        <v>3623941</v>
      </c>
      <c r="F636">
        <v>3624828</v>
      </c>
      <c r="G636" t="s">
        <v>3550</v>
      </c>
      <c r="H636">
        <v>296</v>
      </c>
      <c r="I636" t="s">
        <v>63</v>
      </c>
      <c r="J636">
        <v>5</v>
      </c>
      <c r="K636" t="str">
        <f>HYPERLINK("Gene3584-zp_tree_all.dnd", "Gene3584-tree")</f>
        <v>Gene3584-tree</v>
      </c>
      <c r="L636">
        <v>2</v>
      </c>
      <c r="M636">
        <v>3</v>
      </c>
      <c r="N636">
        <v>2</v>
      </c>
      <c r="O636">
        <v>3</v>
      </c>
      <c r="P636">
        <v>0.6</v>
      </c>
      <c r="Q636" t="s">
        <v>124</v>
      </c>
      <c r="R636" t="s">
        <v>86</v>
      </c>
      <c r="S636" t="s">
        <v>66</v>
      </c>
      <c r="T636" t="s">
        <v>66</v>
      </c>
      <c r="U636">
        <v>0</v>
      </c>
      <c r="V636">
        <v>0</v>
      </c>
      <c r="W636">
        <v>8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8</v>
      </c>
      <c r="AH636">
        <v>0</v>
      </c>
      <c r="AI636">
        <v>5</v>
      </c>
      <c r="AJ636">
        <v>2</v>
      </c>
      <c r="AK636">
        <v>23</v>
      </c>
      <c r="AL636">
        <v>4</v>
      </c>
      <c r="AM636">
        <v>21</v>
      </c>
      <c r="AN636">
        <v>4</v>
      </c>
      <c r="AO636" t="s">
        <v>3551</v>
      </c>
      <c r="AP636" t="s">
        <v>3552</v>
      </c>
      <c r="AQ636">
        <v>3.4000000000000002E-2</v>
      </c>
      <c r="AR636" t="s">
        <v>69</v>
      </c>
      <c r="AS636">
        <v>44</v>
      </c>
      <c r="AT636">
        <v>8</v>
      </c>
      <c r="AU636">
        <v>2.8830000000000001E-2</v>
      </c>
      <c r="AV636">
        <v>-4.96E-3</v>
      </c>
      <c r="AW636">
        <v>0.11498</v>
      </c>
      <c r="AX636">
        <v>-2.018E-2</v>
      </c>
      <c r="AY636">
        <v>5.9100000000000003E-3</v>
      </c>
      <c r="AZ636">
        <v>-1.1299999999999999E-3</v>
      </c>
      <c r="BA636">
        <v>5.1369999999999999E-2</v>
      </c>
      <c r="BB636">
        <v>1</v>
      </c>
      <c r="BC636" t="s">
        <v>70</v>
      </c>
      <c r="BD636">
        <v>0.34499999999999997</v>
      </c>
      <c r="BE636">
        <v>0.34499999999999997</v>
      </c>
      <c r="BF636" t="s">
        <v>71</v>
      </c>
      <c r="BG636">
        <v>9.9476439790575896E-2</v>
      </c>
      <c r="BI636">
        <v>52</v>
      </c>
      <c r="BJ636">
        <v>5.1369999999999999E-2</v>
      </c>
      <c r="BK636">
        <v>9.9476439790575896E-2</v>
      </c>
    </row>
    <row r="637" spans="1:63">
      <c r="A637">
        <v>3585</v>
      </c>
      <c r="B637" t="s">
        <v>3553</v>
      </c>
      <c r="D637" t="s">
        <v>66</v>
      </c>
      <c r="E637">
        <v>3624824</v>
      </c>
      <c r="F637">
        <v>3625507</v>
      </c>
      <c r="G637" t="s">
        <v>3555</v>
      </c>
      <c r="H637">
        <v>228</v>
      </c>
      <c r="I637" t="s">
        <v>63</v>
      </c>
      <c r="J637">
        <v>5</v>
      </c>
      <c r="K637" t="str">
        <f>HYPERLINK("Gene3585-zp_tree_all.dnd", "Gene3585-tree")</f>
        <v>Gene3585-tree</v>
      </c>
      <c r="L637">
        <v>5</v>
      </c>
      <c r="M637">
        <v>0</v>
      </c>
      <c r="N637">
        <v>5</v>
      </c>
      <c r="O637">
        <v>0</v>
      </c>
      <c r="P637">
        <v>0</v>
      </c>
      <c r="Q637" t="s">
        <v>96</v>
      </c>
      <c r="R637" t="s">
        <v>66</v>
      </c>
      <c r="S637" t="s">
        <v>66</v>
      </c>
      <c r="T637" t="s">
        <v>66</v>
      </c>
      <c r="U637">
        <v>0</v>
      </c>
      <c r="V637">
        <v>0</v>
      </c>
      <c r="W637">
        <v>2</v>
      </c>
      <c r="X637">
        <v>0</v>
      </c>
      <c r="Y637">
        <v>0</v>
      </c>
      <c r="Z637">
        <v>0</v>
      </c>
      <c r="AA637">
        <v>0</v>
      </c>
      <c r="AB637">
        <v>2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5</v>
      </c>
      <c r="AJ637">
        <v>2</v>
      </c>
      <c r="AK637">
        <v>25</v>
      </c>
      <c r="AL637">
        <v>0</v>
      </c>
      <c r="AM637">
        <v>17</v>
      </c>
      <c r="AN637">
        <v>3</v>
      </c>
      <c r="AO637" t="s">
        <v>68</v>
      </c>
      <c r="AP637" t="s">
        <v>3556</v>
      </c>
      <c r="AQ637">
        <v>0.98399999999999999</v>
      </c>
      <c r="AR637" t="s">
        <v>69</v>
      </c>
      <c r="AS637">
        <v>42</v>
      </c>
      <c r="AT637">
        <v>3</v>
      </c>
      <c r="AU637">
        <v>3.1140000000000001E-2</v>
      </c>
      <c r="AV637">
        <v>-4.5700000000000003E-3</v>
      </c>
      <c r="AW637">
        <v>0.13772000000000001</v>
      </c>
      <c r="AX637">
        <v>-1.9959999999999999E-2</v>
      </c>
      <c r="AY637">
        <v>3.4299999999999999E-3</v>
      </c>
      <c r="AZ637">
        <v>-8.1999999999999998E-4</v>
      </c>
      <c r="BA637">
        <v>2.4930000000000001E-2</v>
      </c>
      <c r="BB637">
        <v>1</v>
      </c>
      <c r="BC637" t="s">
        <v>70</v>
      </c>
      <c r="BD637">
        <v>0.61899999999999999</v>
      </c>
      <c r="BE637">
        <v>0.27500000000000002</v>
      </c>
      <c r="BF637" t="s">
        <v>71</v>
      </c>
      <c r="BG637">
        <v>0.146757679180887</v>
      </c>
      <c r="BI637">
        <v>45</v>
      </c>
      <c r="BJ637">
        <v>2.4930000000000001E-2</v>
      </c>
      <c r="BK637">
        <v>0.146757679180887</v>
      </c>
    </row>
    <row r="638" spans="1:63">
      <c r="A638">
        <v>3588</v>
      </c>
      <c r="B638" t="s">
        <v>3557</v>
      </c>
      <c r="D638" t="s">
        <v>66</v>
      </c>
      <c r="E638">
        <v>3628313</v>
      </c>
      <c r="F638">
        <v>3630835</v>
      </c>
      <c r="G638" t="s">
        <v>3559</v>
      </c>
      <c r="H638">
        <v>841</v>
      </c>
      <c r="I638" t="s">
        <v>85</v>
      </c>
      <c r="J638">
        <v>4</v>
      </c>
      <c r="K638" t="str">
        <f>HYPERLINK("Gene3588-zp_tree_all.dnd", "Gene3588-tree")</f>
        <v>Gene3588-tree</v>
      </c>
      <c r="L638">
        <v>2</v>
      </c>
      <c r="M638">
        <v>2</v>
      </c>
      <c r="N638">
        <v>2</v>
      </c>
      <c r="O638">
        <v>2</v>
      </c>
      <c r="P638">
        <v>0.5</v>
      </c>
      <c r="Q638" t="s">
        <v>124</v>
      </c>
      <c r="R638" t="s">
        <v>124</v>
      </c>
      <c r="S638" t="s">
        <v>66</v>
      </c>
      <c r="T638" t="s">
        <v>66</v>
      </c>
      <c r="U638">
        <v>0</v>
      </c>
      <c r="V638">
        <v>0</v>
      </c>
      <c r="W638">
        <v>17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17</v>
      </c>
      <c r="AH638">
        <v>0</v>
      </c>
      <c r="AI638">
        <v>4</v>
      </c>
      <c r="AJ638">
        <v>1</v>
      </c>
      <c r="AK638">
        <v>117</v>
      </c>
      <c r="AL638">
        <v>17</v>
      </c>
      <c r="AM638">
        <v>16</v>
      </c>
      <c r="AN638">
        <v>0</v>
      </c>
      <c r="AO638" t="s">
        <v>3560</v>
      </c>
      <c r="AP638" t="s">
        <v>68</v>
      </c>
      <c r="AQ638">
        <v>0.48699999999999999</v>
      </c>
      <c r="AR638" t="s">
        <v>69</v>
      </c>
      <c r="AS638">
        <v>133</v>
      </c>
      <c r="AT638">
        <v>17</v>
      </c>
      <c r="AU638">
        <v>2.9329999999999998E-2</v>
      </c>
      <c r="AV638">
        <v>-8.1499999999999993E-3</v>
      </c>
      <c r="AW638">
        <v>0.13216</v>
      </c>
      <c r="AX638">
        <v>-3.6740000000000002E-2</v>
      </c>
      <c r="AY638">
        <v>4.3600000000000002E-3</v>
      </c>
      <c r="AZ638">
        <v>-1.64E-3</v>
      </c>
      <c r="BA638">
        <v>3.2969999999999999E-2</v>
      </c>
      <c r="BB638">
        <v>1</v>
      </c>
      <c r="BC638" t="s">
        <v>70</v>
      </c>
      <c r="BD638">
        <v>-0.32400000000000001</v>
      </c>
      <c r="BE638">
        <v>-0.66700000000000004</v>
      </c>
      <c r="BF638" t="s">
        <v>71</v>
      </c>
      <c r="BG638">
        <v>0.105308964316797</v>
      </c>
      <c r="BI638">
        <v>150</v>
      </c>
      <c r="BJ638">
        <v>3.2969999999999999E-2</v>
      </c>
      <c r="BK638">
        <v>0.105308964316797</v>
      </c>
    </row>
    <row r="639" spans="1:63">
      <c r="A639">
        <v>3589</v>
      </c>
      <c r="B639" t="s">
        <v>3561</v>
      </c>
      <c r="D639" t="s">
        <v>66</v>
      </c>
      <c r="E639">
        <v>3631006</v>
      </c>
      <c r="F639">
        <v>3631572</v>
      </c>
      <c r="G639" t="s">
        <v>3563</v>
      </c>
      <c r="H639">
        <v>189</v>
      </c>
      <c r="I639" t="s">
        <v>63</v>
      </c>
      <c r="J639">
        <v>5</v>
      </c>
      <c r="K639" t="str">
        <f>HYPERLINK("Gene3589-zp_tree_all.dnd", "Gene3589-tree")</f>
        <v>Gene3589-tree</v>
      </c>
      <c r="L639">
        <v>4</v>
      </c>
      <c r="M639">
        <v>1</v>
      </c>
      <c r="N639">
        <v>3</v>
      </c>
      <c r="O639">
        <v>1</v>
      </c>
      <c r="P639">
        <v>0.25</v>
      </c>
      <c r="Q639" t="s">
        <v>112</v>
      </c>
      <c r="R639" t="s">
        <v>65</v>
      </c>
      <c r="S639" t="s">
        <v>66</v>
      </c>
      <c r="T639" t="s">
        <v>66</v>
      </c>
      <c r="U639">
        <v>0</v>
      </c>
      <c r="V639">
        <v>0</v>
      </c>
      <c r="W639">
        <v>5</v>
      </c>
      <c r="X639">
        <v>0</v>
      </c>
      <c r="Y639">
        <v>0</v>
      </c>
      <c r="Z639">
        <v>0</v>
      </c>
      <c r="AA639">
        <v>0</v>
      </c>
      <c r="AB639">
        <v>4</v>
      </c>
      <c r="AC639">
        <v>0</v>
      </c>
      <c r="AD639">
        <v>0</v>
      </c>
      <c r="AE639">
        <v>0</v>
      </c>
      <c r="AF639">
        <v>0</v>
      </c>
      <c r="AG639">
        <v>1</v>
      </c>
      <c r="AH639">
        <v>0</v>
      </c>
      <c r="AI639">
        <v>4</v>
      </c>
      <c r="AJ639">
        <v>1</v>
      </c>
      <c r="AK639">
        <v>15</v>
      </c>
      <c r="AL639">
        <v>1</v>
      </c>
      <c r="AM639">
        <v>6</v>
      </c>
      <c r="AN639">
        <v>4</v>
      </c>
      <c r="AO639" t="s">
        <v>3564</v>
      </c>
      <c r="AP639" t="s">
        <v>3565</v>
      </c>
      <c r="AQ639">
        <v>5.0780000000000003</v>
      </c>
      <c r="AR639" t="s">
        <v>69</v>
      </c>
      <c r="AS639">
        <v>21</v>
      </c>
      <c r="AT639">
        <v>5</v>
      </c>
      <c r="AU639">
        <v>2.469E-2</v>
      </c>
      <c r="AV639">
        <v>-4.1200000000000004E-3</v>
      </c>
      <c r="AW639">
        <v>9.8309999999999995E-2</v>
      </c>
      <c r="AX639">
        <v>-1.5299999999999999E-2</v>
      </c>
      <c r="AY639">
        <v>7.11E-3</v>
      </c>
      <c r="AZ639">
        <v>-1.34E-3</v>
      </c>
      <c r="BA639">
        <v>7.2319999999999995E-2</v>
      </c>
      <c r="BB639">
        <v>1</v>
      </c>
      <c r="BC639" t="s">
        <v>70</v>
      </c>
      <c r="BD639">
        <v>0.245</v>
      </c>
      <c r="BE639">
        <v>-7.6999999999999999E-2</v>
      </c>
      <c r="BF639" t="s">
        <v>71</v>
      </c>
      <c r="BG639">
        <v>0.14754098360655701</v>
      </c>
      <c r="BI639">
        <v>26</v>
      </c>
      <c r="BJ639">
        <v>7.2319999999999995E-2</v>
      </c>
      <c r="BK639">
        <v>0.14754098360655701</v>
      </c>
    </row>
    <row r="640" spans="1:63">
      <c r="A640">
        <v>3592</v>
      </c>
      <c r="B640" t="s">
        <v>3566</v>
      </c>
      <c r="D640" t="s">
        <v>66</v>
      </c>
      <c r="E640">
        <v>3632491</v>
      </c>
      <c r="F640">
        <v>3632889</v>
      </c>
      <c r="G640" t="s">
        <v>3568</v>
      </c>
      <c r="H640">
        <v>133</v>
      </c>
      <c r="I640" t="s">
        <v>106</v>
      </c>
      <c r="J640">
        <v>4</v>
      </c>
      <c r="K640" t="str">
        <f>HYPERLINK("Gene3592-zp_tree_all.dnd", "Gene3592-tree")</f>
        <v>Gene3592-tree</v>
      </c>
      <c r="L640">
        <v>2</v>
      </c>
      <c r="M640">
        <v>2</v>
      </c>
      <c r="N640">
        <v>2</v>
      </c>
      <c r="O640">
        <v>2</v>
      </c>
      <c r="P640">
        <v>0.5</v>
      </c>
      <c r="Q640" t="s">
        <v>124</v>
      </c>
      <c r="R640" t="s">
        <v>124</v>
      </c>
      <c r="S640" t="s">
        <v>66</v>
      </c>
      <c r="T640" t="s">
        <v>66</v>
      </c>
      <c r="U640">
        <v>1</v>
      </c>
      <c r="V640">
        <v>2</v>
      </c>
      <c r="W640">
        <v>2</v>
      </c>
      <c r="X640">
        <v>0.5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2</v>
      </c>
      <c r="AE640">
        <v>0</v>
      </c>
      <c r="AF640">
        <v>2</v>
      </c>
      <c r="AG640">
        <v>1</v>
      </c>
      <c r="AH640">
        <v>0.66666999999999998</v>
      </c>
      <c r="AI640">
        <v>4</v>
      </c>
      <c r="AJ640">
        <v>1</v>
      </c>
      <c r="AK640">
        <v>23</v>
      </c>
      <c r="AL640">
        <v>3</v>
      </c>
      <c r="AM640">
        <v>3</v>
      </c>
      <c r="AN640">
        <v>1</v>
      </c>
      <c r="AO640" t="s">
        <v>3569</v>
      </c>
      <c r="AP640" t="s">
        <v>3570</v>
      </c>
      <c r="AQ640">
        <v>2.3610000000000002</v>
      </c>
      <c r="AR640" t="s">
        <v>69</v>
      </c>
      <c r="AS640">
        <v>26</v>
      </c>
      <c r="AT640">
        <v>4</v>
      </c>
      <c r="AU640">
        <v>3.6339999999999997E-2</v>
      </c>
      <c r="AV640">
        <v>-2.6900000000000001E-3</v>
      </c>
      <c r="AW640">
        <v>0.16175</v>
      </c>
      <c r="AX640">
        <v>-1.6590000000000001E-2</v>
      </c>
      <c r="AY640">
        <v>5.9100000000000003E-3</v>
      </c>
      <c r="AZ640">
        <v>-9.1E-4</v>
      </c>
      <c r="BA640">
        <v>3.6560000000000002E-2</v>
      </c>
      <c r="BB640">
        <v>1</v>
      </c>
      <c r="BC640" t="s">
        <v>70</v>
      </c>
      <c r="BD640">
        <v>0.23100000000000001</v>
      </c>
      <c r="BE640">
        <v>-0.13200000000000001</v>
      </c>
      <c r="BF640" t="s">
        <v>71</v>
      </c>
      <c r="BG640">
        <v>0.14792899408283999</v>
      </c>
      <c r="BI640">
        <v>30</v>
      </c>
      <c r="BJ640">
        <v>3.6560000000000002E-2</v>
      </c>
      <c r="BK640">
        <v>0.14792899408283999</v>
      </c>
    </row>
    <row r="641" spans="1:63">
      <c r="A641">
        <v>3596</v>
      </c>
      <c r="B641" t="s">
        <v>3571</v>
      </c>
      <c r="D641" t="s">
        <v>66</v>
      </c>
      <c r="E641">
        <v>3636049</v>
      </c>
      <c r="F641">
        <v>3636270</v>
      </c>
      <c r="G641" t="s">
        <v>3573</v>
      </c>
      <c r="H641">
        <v>74</v>
      </c>
      <c r="I641" t="s">
        <v>63</v>
      </c>
      <c r="J641">
        <v>5</v>
      </c>
      <c r="K641" t="str">
        <f>HYPERLINK("Gene3596-zp_tree_all.dnd", "Gene3596-tree")</f>
        <v>Gene3596-tree</v>
      </c>
      <c r="L641">
        <v>2</v>
      </c>
      <c r="M641">
        <v>3</v>
      </c>
      <c r="N641">
        <v>2</v>
      </c>
      <c r="O641">
        <v>3</v>
      </c>
      <c r="P641">
        <v>0.6</v>
      </c>
      <c r="Q641" t="s">
        <v>124</v>
      </c>
      <c r="R641" t="s">
        <v>86</v>
      </c>
      <c r="S641" t="s">
        <v>66</v>
      </c>
      <c r="T641" t="s">
        <v>66</v>
      </c>
      <c r="U641">
        <v>0</v>
      </c>
      <c r="V641">
        <v>0</v>
      </c>
      <c r="W641">
        <v>4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4</v>
      </c>
      <c r="AH641">
        <v>0</v>
      </c>
      <c r="AI641">
        <v>5</v>
      </c>
      <c r="AJ641">
        <v>2</v>
      </c>
      <c r="AK641">
        <v>7</v>
      </c>
      <c r="AL641">
        <v>4</v>
      </c>
      <c r="AM641">
        <v>5</v>
      </c>
      <c r="AN641">
        <v>0</v>
      </c>
      <c r="AO641" t="s">
        <v>3574</v>
      </c>
      <c r="AP641" t="s">
        <v>68</v>
      </c>
      <c r="AQ641">
        <v>1.827</v>
      </c>
      <c r="AR641" t="s">
        <v>69</v>
      </c>
      <c r="AS641">
        <v>12</v>
      </c>
      <c r="AT641">
        <v>4</v>
      </c>
      <c r="AU641">
        <v>3.3329999999999999E-2</v>
      </c>
      <c r="AV641">
        <v>-3.0699999999999998E-3</v>
      </c>
      <c r="AW641">
        <v>0.12964000000000001</v>
      </c>
      <c r="AX641">
        <v>-1.421E-2</v>
      </c>
      <c r="AY641">
        <v>9.3399999999999993E-3</v>
      </c>
      <c r="AZ641">
        <v>-1.6999999999999999E-3</v>
      </c>
      <c r="BA641">
        <v>7.2020000000000001E-2</v>
      </c>
      <c r="BB641">
        <v>1</v>
      </c>
      <c r="BC641" t="s">
        <v>70</v>
      </c>
      <c r="BD641">
        <v>-0.26700000000000002</v>
      </c>
      <c r="BE641">
        <v>-0.26700000000000002</v>
      </c>
      <c r="BF641" t="s">
        <v>71</v>
      </c>
      <c r="BG641">
        <v>0.155555555555555</v>
      </c>
      <c r="BI641">
        <v>16</v>
      </c>
      <c r="BJ641">
        <v>7.2020000000000001E-2</v>
      </c>
      <c r="BK641">
        <v>0.155555555555555</v>
      </c>
    </row>
    <row r="642" spans="1:63">
      <c r="A642">
        <v>3597</v>
      </c>
      <c r="B642" t="s">
        <v>3575</v>
      </c>
      <c r="D642" t="s">
        <v>66</v>
      </c>
      <c r="E642">
        <v>3636267</v>
      </c>
      <c r="F642">
        <v>3636695</v>
      </c>
      <c r="G642" t="s">
        <v>3577</v>
      </c>
      <c r="H642">
        <v>143</v>
      </c>
      <c r="I642" t="s">
        <v>63</v>
      </c>
      <c r="J642">
        <v>5</v>
      </c>
      <c r="K642" t="str">
        <f>HYPERLINK("Gene3597-zp_tree_all.dnd", "Gene3597-tree")</f>
        <v>Gene3597-tree</v>
      </c>
      <c r="L642">
        <v>4</v>
      </c>
      <c r="M642">
        <v>1</v>
      </c>
      <c r="N642">
        <v>4</v>
      </c>
      <c r="O642">
        <v>1</v>
      </c>
      <c r="P642">
        <v>0.2</v>
      </c>
      <c r="Q642" t="s">
        <v>64</v>
      </c>
      <c r="R642" t="s">
        <v>65</v>
      </c>
      <c r="S642" t="s">
        <v>66</v>
      </c>
      <c r="T642" t="s">
        <v>66</v>
      </c>
      <c r="U642">
        <v>0</v>
      </c>
      <c r="V642">
        <v>0</v>
      </c>
      <c r="W642">
        <v>4</v>
      </c>
      <c r="X642">
        <v>0</v>
      </c>
      <c r="Y642">
        <v>0</v>
      </c>
      <c r="Z642">
        <v>0</v>
      </c>
      <c r="AA642">
        <v>0</v>
      </c>
      <c r="AB642">
        <v>3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0</v>
      </c>
      <c r="AI642">
        <v>5</v>
      </c>
      <c r="AJ642">
        <v>2</v>
      </c>
      <c r="AK642">
        <v>13</v>
      </c>
      <c r="AL642">
        <v>1</v>
      </c>
      <c r="AM642">
        <v>13</v>
      </c>
      <c r="AN642">
        <v>3</v>
      </c>
      <c r="AO642" t="s">
        <v>3578</v>
      </c>
      <c r="AP642" t="s">
        <v>3579</v>
      </c>
      <c r="AQ642">
        <v>0.52200000000000002</v>
      </c>
      <c r="AR642" t="s">
        <v>69</v>
      </c>
      <c r="AS642">
        <v>26</v>
      </c>
      <c r="AT642">
        <v>4</v>
      </c>
      <c r="AU642">
        <v>3.3799999999999997E-2</v>
      </c>
      <c r="AV642">
        <v>-5.8399999999999997E-3</v>
      </c>
      <c r="AW642">
        <v>0.15365999999999999</v>
      </c>
      <c r="AX642">
        <v>-2.649E-2</v>
      </c>
      <c r="AY642">
        <v>6.5500000000000003E-3</v>
      </c>
      <c r="AZ642">
        <v>-1.57E-3</v>
      </c>
      <c r="BA642">
        <v>4.2659999999999997E-2</v>
      </c>
      <c r="BB642">
        <v>1</v>
      </c>
      <c r="BC642" t="s">
        <v>70</v>
      </c>
      <c r="BD642">
        <v>0.88600000000000001</v>
      </c>
      <c r="BE642">
        <v>0.59799999999999998</v>
      </c>
      <c r="BF642" t="s">
        <v>71</v>
      </c>
      <c r="BG642">
        <v>-6.0606060606060597E-3</v>
      </c>
      <c r="BI642">
        <v>30</v>
      </c>
      <c r="BJ642">
        <v>4.2659999999999997E-2</v>
      </c>
      <c r="BK642">
        <v>-6.0606060606060597E-3</v>
      </c>
    </row>
    <row r="643" spans="1:63">
      <c r="A643">
        <v>3602</v>
      </c>
      <c r="B643" t="s">
        <v>3580</v>
      </c>
      <c r="D643" t="s">
        <v>66</v>
      </c>
      <c r="E643">
        <v>3640288</v>
      </c>
      <c r="F643">
        <v>3640551</v>
      </c>
      <c r="G643" t="s">
        <v>3582</v>
      </c>
      <c r="H643">
        <v>88</v>
      </c>
      <c r="I643" t="s">
        <v>63</v>
      </c>
      <c r="J643">
        <v>5</v>
      </c>
      <c r="K643" t="str">
        <f>HYPERLINK("Gene3602-zp_tree_all.dnd", "Gene3602-tree")</f>
        <v>Gene3602-tree</v>
      </c>
      <c r="L643">
        <v>0</v>
      </c>
      <c r="M643">
        <v>5</v>
      </c>
      <c r="N643">
        <v>0</v>
      </c>
      <c r="O643">
        <v>4</v>
      </c>
      <c r="P643">
        <v>1</v>
      </c>
      <c r="Q643" t="s">
        <v>66</v>
      </c>
      <c r="R643" t="s">
        <v>135</v>
      </c>
      <c r="S643">
        <v>3.1949999999999998</v>
      </c>
      <c r="T643" t="s">
        <v>69</v>
      </c>
      <c r="U643">
        <v>0</v>
      </c>
      <c r="V643">
        <v>0</v>
      </c>
      <c r="W643">
        <v>7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7</v>
      </c>
      <c r="AH643">
        <v>0</v>
      </c>
      <c r="AI643">
        <v>3</v>
      </c>
      <c r="AJ643">
        <v>1</v>
      </c>
      <c r="AK643">
        <v>2</v>
      </c>
      <c r="AL643">
        <v>3</v>
      </c>
      <c r="AM643">
        <v>5</v>
      </c>
      <c r="AN643">
        <v>4</v>
      </c>
      <c r="AO643" t="s">
        <v>3583</v>
      </c>
      <c r="AP643" t="s">
        <v>3584</v>
      </c>
      <c r="AQ643">
        <v>0.41799999999999998</v>
      </c>
      <c r="AR643" t="s">
        <v>69</v>
      </c>
      <c r="AS643">
        <v>7</v>
      </c>
      <c r="AT643">
        <v>7</v>
      </c>
      <c r="AU643">
        <v>3.0929999999999999E-2</v>
      </c>
      <c r="AV643">
        <v>-6.3400000000000001E-3</v>
      </c>
      <c r="AW643">
        <v>7.9890000000000003E-2</v>
      </c>
      <c r="AX643">
        <v>-1.847E-2</v>
      </c>
      <c r="AY643">
        <v>2.0140000000000002E-2</v>
      </c>
      <c r="AZ643">
        <v>-3.8700000000000002E-3</v>
      </c>
      <c r="BA643">
        <v>0.25206000000000001</v>
      </c>
      <c r="BB643">
        <v>0.99</v>
      </c>
      <c r="BC643" t="s">
        <v>70</v>
      </c>
      <c r="BD643">
        <v>1.117</v>
      </c>
      <c r="BE643">
        <v>0.65200000000000002</v>
      </c>
      <c r="BF643" t="s">
        <v>71</v>
      </c>
      <c r="BG643">
        <v>-4.4444444444444398E-2</v>
      </c>
      <c r="BI643">
        <v>14</v>
      </c>
      <c r="BJ643">
        <v>0.25206000000000001</v>
      </c>
      <c r="BK643">
        <v>-4.4444444444444398E-2</v>
      </c>
    </row>
    <row r="644" spans="1:63">
      <c r="A644">
        <v>3608</v>
      </c>
      <c r="B644" t="s">
        <v>3585</v>
      </c>
      <c r="D644" t="s">
        <v>66</v>
      </c>
      <c r="E644">
        <v>3644610</v>
      </c>
      <c r="F644">
        <v>3645296</v>
      </c>
      <c r="G644" t="s">
        <v>3587</v>
      </c>
      <c r="H644">
        <v>229</v>
      </c>
      <c r="I644" t="s">
        <v>63</v>
      </c>
      <c r="J644">
        <v>5</v>
      </c>
      <c r="K644" t="str">
        <f>HYPERLINK("Gene3608-zp_tree_all.dnd", "Gene3608-tree")</f>
        <v>Gene3608-tree</v>
      </c>
      <c r="L644">
        <v>5</v>
      </c>
      <c r="M644">
        <v>0</v>
      </c>
      <c r="N644">
        <v>5</v>
      </c>
      <c r="O644">
        <v>0</v>
      </c>
      <c r="P644">
        <v>0</v>
      </c>
      <c r="Q644" t="s">
        <v>96</v>
      </c>
      <c r="R644" t="s">
        <v>66</v>
      </c>
      <c r="S644" t="s">
        <v>66</v>
      </c>
      <c r="T644" t="s">
        <v>66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5</v>
      </c>
      <c r="AJ644">
        <v>2</v>
      </c>
      <c r="AK644">
        <v>12</v>
      </c>
      <c r="AL644">
        <v>0</v>
      </c>
      <c r="AM644">
        <v>12</v>
      </c>
      <c r="AN644">
        <v>0</v>
      </c>
      <c r="AO644" t="s">
        <v>68</v>
      </c>
      <c r="AP644" t="s">
        <v>68</v>
      </c>
      <c r="AQ644">
        <v>0</v>
      </c>
      <c r="AR644" t="s">
        <v>69</v>
      </c>
      <c r="AS644">
        <v>24</v>
      </c>
      <c r="AT644">
        <v>0</v>
      </c>
      <c r="AU644">
        <v>1.7469999999999999E-2</v>
      </c>
      <c r="AV644">
        <v>-2.8900000000000002E-3</v>
      </c>
      <c r="AW644">
        <v>8.2400000000000001E-2</v>
      </c>
      <c r="AX644">
        <v>-1.396E-2</v>
      </c>
      <c r="AY644">
        <v>0</v>
      </c>
      <c r="AZ644">
        <v>0</v>
      </c>
      <c r="BA644">
        <v>0</v>
      </c>
      <c r="BB644">
        <v>1</v>
      </c>
      <c r="BC644" t="s">
        <v>70</v>
      </c>
      <c r="BD644">
        <v>0.31</v>
      </c>
      <c r="BE644">
        <v>0.31</v>
      </c>
      <c r="BF644" t="s">
        <v>71</v>
      </c>
      <c r="BG644">
        <v>0.123287671232876</v>
      </c>
      <c r="BI644">
        <v>24</v>
      </c>
      <c r="BJ644">
        <v>0</v>
      </c>
      <c r="BK644">
        <v>0.123287671232876</v>
      </c>
    </row>
    <row r="645" spans="1:63">
      <c r="A645">
        <v>3609</v>
      </c>
      <c r="B645" t="s">
        <v>3588</v>
      </c>
      <c r="D645" t="s">
        <v>66</v>
      </c>
      <c r="E645">
        <v>3645382</v>
      </c>
      <c r="F645">
        <v>3646536</v>
      </c>
      <c r="G645" t="s">
        <v>3590</v>
      </c>
      <c r="H645">
        <v>385</v>
      </c>
      <c r="I645" t="s">
        <v>63</v>
      </c>
      <c r="J645">
        <v>5</v>
      </c>
      <c r="K645" t="str">
        <f>HYPERLINK("Gene3609-zp_tree_all.dnd", "Gene3609-tree")</f>
        <v>Gene3609-tree</v>
      </c>
      <c r="L645">
        <v>3</v>
      </c>
      <c r="M645">
        <v>2</v>
      </c>
      <c r="N645">
        <v>3</v>
      </c>
      <c r="O645">
        <v>2</v>
      </c>
      <c r="P645">
        <v>0.4</v>
      </c>
      <c r="Q645" t="s">
        <v>86</v>
      </c>
      <c r="R645" t="s">
        <v>124</v>
      </c>
      <c r="S645" t="s">
        <v>66</v>
      </c>
      <c r="T645" t="s">
        <v>66</v>
      </c>
      <c r="U645">
        <v>0</v>
      </c>
      <c r="V645">
        <v>0</v>
      </c>
      <c r="W645">
        <v>3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3</v>
      </c>
      <c r="AH645">
        <v>0</v>
      </c>
      <c r="AI645">
        <v>5</v>
      </c>
      <c r="AJ645">
        <v>2</v>
      </c>
      <c r="AK645">
        <v>22</v>
      </c>
      <c r="AL645">
        <v>3</v>
      </c>
      <c r="AM645">
        <v>34</v>
      </c>
      <c r="AN645">
        <v>0</v>
      </c>
      <c r="AO645" t="s">
        <v>3591</v>
      </c>
      <c r="AP645" t="s">
        <v>68</v>
      </c>
      <c r="AQ645">
        <v>1.06</v>
      </c>
      <c r="AR645" t="s">
        <v>69</v>
      </c>
      <c r="AS645">
        <v>56</v>
      </c>
      <c r="AT645">
        <v>3</v>
      </c>
      <c r="AU645">
        <v>2.606E-2</v>
      </c>
      <c r="AV645">
        <v>-4.9899999999999996E-3</v>
      </c>
      <c r="AW645">
        <v>0.13061</v>
      </c>
      <c r="AX645">
        <v>-2.606E-2</v>
      </c>
      <c r="AY645">
        <v>1.33E-3</v>
      </c>
      <c r="AZ645">
        <v>-3.4000000000000002E-4</v>
      </c>
      <c r="BA645">
        <v>1.0160000000000001E-2</v>
      </c>
      <c r="BB645">
        <v>1</v>
      </c>
      <c r="BC645" t="s">
        <v>70</v>
      </c>
      <c r="BD645">
        <v>0.75700000000000001</v>
      </c>
      <c r="BE645">
        <v>0.61899999999999999</v>
      </c>
      <c r="BF645" t="s">
        <v>71</v>
      </c>
      <c r="BG645">
        <v>0.207243460764587</v>
      </c>
      <c r="BI645">
        <v>59</v>
      </c>
      <c r="BJ645">
        <v>1.0160000000000001E-2</v>
      </c>
      <c r="BK645">
        <v>0.207243460764587</v>
      </c>
    </row>
    <row r="646" spans="1:63">
      <c r="A646">
        <v>3645</v>
      </c>
      <c r="B646" t="s">
        <v>3599</v>
      </c>
      <c r="D646" t="s">
        <v>66</v>
      </c>
      <c r="E646">
        <v>3697642</v>
      </c>
      <c r="F646">
        <v>3697806</v>
      </c>
      <c r="G646" t="s">
        <v>74</v>
      </c>
      <c r="H646">
        <v>55</v>
      </c>
      <c r="I646" t="s">
        <v>85</v>
      </c>
      <c r="J646">
        <v>4</v>
      </c>
      <c r="K646" t="str">
        <f>HYPERLINK("Gene3645-zp_tree_all.dnd", "Gene3645-tree")</f>
        <v>Gene3645-tree</v>
      </c>
      <c r="L646">
        <v>3</v>
      </c>
      <c r="M646">
        <v>1</v>
      </c>
      <c r="N646">
        <v>3</v>
      </c>
      <c r="O646">
        <v>1</v>
      </c>
      <c r="P646">
        <v>0.25</v>
      </c>
      <c r="Q646" t="s">
        <v>86</v>
      </c>
      <c r="R646" t="s">
        <v>65</v>
      </c>
      <c r="S646" t="s">
        <v>66</v>
      </c>
      <c r="T646" t="s">
        <v>66</v>
      </c>
      <c r="U646">
        <v>0</v>
      </c>
      <c r="V646">
        <v>0</v>
      </c>
      <c r="W646">
        <v>3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3</v>
      </c>
      <c r="AH646">
        <v>0</v>
      </c>
      <c r="AI646">
        <v>4</v>
      </c>
      <c r="AJ646">
        <v>1</v>
      </c>
      <c r="AK646">
        <v>5</v>
      </c>
      <c r="AL646">
        <v>3</v>
      </c>
      <c r="AM646">
        <v>1</v>
      </c>
      <c r="AN646">
        <v>0</v>
      </c>
      <c r="AO646" t="s">
        <v>3601</v>
      </c>
      <c r="AP646" t="s">
        <v>68</v>
      </c>
      <c r="AQ646">
        <v>0.63900000000000001</v>
      </c>
      <c r="AR646" t="s">
        <v>69</v>
      </c>
      <c r="AS646">
        <v>6</v>
      </c>
      <c r="AT646">
        <v>3</v>
      </c>
      <c r="AU646">
        <v>2.828E-2</v>
      </c>
      <c r="AV646">
        <v>-5.0800000000000003E-3</v>
      </c>
      <c r="AW646">
        <v>0.12196</v>
      </c>
      <c r="AX646">
        <v>-1.1639999999999999E-2</v>
      </c>
      <c r="AY646">
        <v>1.1129999999999999E-2</v>
      </c>
      <c r="AZ646">
        <v>-4.5399999999999998E-3</v>
      </c>
      <c r="BA646">
        <v>9.128E-2</v>
      </c>
      <c r="BB646">
        <v>0.99</v>
      </c>
      <c r="BC646" t="s">
        <v>70</v>
      </c>
      <c r="BD646">
        <v>-0.49199999999999999</v>
      </c>
      <c r="BE646">
        <v>-0.49199999999999999</v>
      </c>
      <c r="BF646" t="s">
        <v>71</v>
      </c>
      <c r="BG646">
        <v>9.375E-2</v>
      </c>
      <c r="BI646">
        <v>9</v>
      </c>
      <c r="BJ646">
        <v>9.128E-2</v>
      </c>
      <c r="BK646">
        <v>9.375E-2</v>
      </c>
    </row>
    <row r="647" spans="1:63">
      <c r="A647">
        <v>3647</v>
      </c>
      <c r="B647" t="s">
        <v>3602</v>
      </c>
      <c r="D647" t="s">
        <v>66</v>
      </c>
      <c r="E647">
        <v>3698985</v>
      </c>
      <c r="F647">
        <v>3699431</v>
      </c>
      <c r="G647" t="s">
        <v>3604</v>
      </c>
      <c r="H647">
        <v>149</v>
      </c>
      <c r="I647" t="s">
        <v>63</v>
      </c>
      <c r="J647">
        <v>5</v>
      </c>
      <c r="K647" t="str">
        <f>HYPERLINK("Gene3647-zp_tree_all.dnd", "Gene3647-tree")</f>
        <v>Gene3647-tree</v>
      </c>
      <c r="L647">
        <v>4</v>
      </c>
      <c r="M647">
        <v>1</v>
      </c>
      <c r="N647">
        <v>4</v>
      </c>
      <c r="O647">
        <v>1</v>
      </c>
      <c r="P647">
        <v>0.2</v>
      </c>
      <c r="Q647" t="s">
        <v>64</v>
      </c>
      <c r="R647" t="s">
        <v>65</v>
      </c>
      <c r="S647" t="s">
        <v>66</v>
      </c>
      <c r="T647" t="s">
        <v>66</v>
      </c>
      <c r="U647">
        <v>0</v>
      </c>
      <c r="V647">
        <v>0</v>
      </c>
      <c r="W647">
        <v>1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1</v>
      </c>
      <c r="AH647">
        <v>0</v>
      </c>
      <c r="AI647">
        <v>4</v>
      </c>
      <c r="AJ647">
        <v>2</v>
      </c>
      <c r="AK647">
        <v>12</v>
      </c>
      <c r="AL647">
        <v>1</v>
      </c>
      <c r="AM647">
        <v>5</v>
      </c>
      <c r="AN647">
        <v>0</v>
      </c>
      <c r="AO647" t="s">
        <v>3605</v>
      </c>
      <c r="AP647" t="s">
        <v>68</v>
      </c>
      <c r="AQ647">
        <v>0.58799999999999997</v>
      </c>
      <c r="AR647" t="s">
        <v>69</v>
      </c>
      <c r="AS647">
        <v>17</v>
      </c>
      <c r="AT647">
        <v>1</v>
      </c>
      <c r="AU647">
        <v>1.8339999999999999E-2</v>
      </c>
      <c r="AV647">
        <v>-2.4499999999999999E-3</v>
      </c>
      <c r="AW647">
        <v>7.2190000000000004E-2</v>
      </c>
      <c r="AX647">
        <v>-1.068E-2</v>
      </c>
      <c r="AY647">
        <v>1.2099999999999999E-3</v>
      </c>
      <c r="AZ647">
        <v>-4.6999999999999999E-4</v>
      </c>
      <c r="BA647">
        <v>1.67E-2</v>
      </c>
      <c r="BB647">
        <v>1</v>
      </c>
      <c r="BC647" t="s">
        <v>70</v>
      </c>
      <c r="BD647">
        <v>-0.375</v>
      </c>
      <c r="BE647">
        <v>-0.375</v>
      </c>
      <c r="BF647" t="s">
        <v>71</v>
      </c>
      <c r="BG647">
        <v>6.1452513966480403E-2</v>
      </c>
      <c r="BI647">
        <v>18</v>
      </c>
      <c r="BJ647">
        <v>1.67E-2</v>
      </c>
      <c r="BK647">
        <v>6.1452513966480403E-2</v>
      </c>
    </row>
    <row r="648" spans="1:63">
      <c r="A648">
        <v>3648</v>
      </c>
      <c r="B648" t="s">
        <v>3606</v>
      </c>
      <c r="D648" t="s">
        <v>66</v>
      </c>
      <c r="E648">
        <v>3699449</v>
      </c>
      <c r="F648">
        <v>3700627</v>
      </c>
      <c r="G648" t="s">
        <v>3608</v>
      </c>
      <c r="H648">
        <v>393</v>
      </c>
      <c r="I648" t="s">
        <v>63</v>
      </c>
      <c r="J648">
        <v>5</v>
      </c>
      <c r="K648" t="str">
        <f>HYPERLINK("Gene3648-zp_tree_all.dnd", "Gene3648-tree")</f>
        <v>Gene3648-tree</v>
      </c>
      <c r="L648">
        <v>4</v>
      </c>
      <c r="M648">
        <v>1</v>
      </c>
      <c r="N648">
        <v>4</v>
      </c>
      <c r="O648">
        <v>1</v>
      </c>
      <c r="P648">
        <v>0.2</v>
      </c>
      <c r="Q648" t="s">
        <v>64</v>
      </c>
      <c r="R648" t="s">
        <v>65</v>
      </c>
      <c r="S648" t="s">
        <v>66</v>
      </c>
      <c r="T648" t="s">
        <v>66</v>
      </c>
      <c r="U648">
        <v>0</v>
      </c>
      <c r="V648">
        <v>0</v>
      </c>
      <c r="W648">
        <v>3</v>
      </c>
      <c r="X648">
        <v>0</v>
      </c>
      <c r="Y648">
        <v>0</v>
      </c>
      <c r="Z648">
        <v>0</v>
      </c>
      <c r="AA648">
        <v>0</v>
      </c>
      <c r="AB648">
        <v>2</v>
      </c>
      <c r="AC648">
        <v>0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5</v>
      </c>
      <c r="AJ648">
        <v>2</v>
      </c>
      <c r="AK648">
        <v>25</v>
      </c>
      <c r="AL648">
        <v>1</v>
      </c>
      <c r="AM648">
        <v>24</v>
      </c>
      <c r="AN648">
        <v>2</v>
      </c>
      <c r="AO648" t="s">
        <v>3609</v>
      </c>
      <c r="AP648" t="s">
        <v>3610</v>
      </c>
      <c r="AQ648">
        <v>0.31900000000000001</v>
      </c>
      <c r="AR648" t="s">
        <v>69</v>
      </c>
      <c r="AS648">
        <v>49</v>
      </c>
      <c r="AT648">
        <v>3</v>
      </c>
      <c r="AU648">
        <v>2.171E-2</v>
      </c>
      <c r="AV648">
        <v>-3.8400000000000001E-3</v>
      </c>
      <c r="AW648">
        <v>9.7970000000000002E-2</v>
      </c>
      <c r="AX648">
        <v>-1.7819999999999999E-2</v>
      </c>
      <c r="AY648">
        <v>1.7600000000000001E-3</v>
      </c>
      <c r="AZ648">
        <v>-3.1E-4</v>
      </c>
      <c r="BA648">
        <v>1.7930000000000001E-2</v>
      </c>
      <c r="BB648">
        <v>1</v>
      </c>
      <c r="BC648" t="s">
        <v>70</v>
      </c>
      <c r="BD648">
        <v>0.503</v>
      </c>
      <c r="BE648">
        <v>0.503</v>
      </c>
      <c r="BF648" t="s">
        <v>71</v>
      </c>
      <c r="BG648">
        <v>7.6620825147347693E-2</v>
      </c>
      <c r="BI648">
        <v>52</v>
      </c>
      <c r="BJ648">
        <v>1.7930000000000001E-2</v>
      </c>
      <c r="BK648">
        <v>7.6620825147347693E-2</v>
      </c>
    </row>
    <row r="649" spans="1:63">
      <c r="A649">
        <v>3658</v>
      </c>
      <c r="B649" t="s">
        <v>3611</v>
      </c>
      <c r="D649" t="s">
        <v>66</v>
      </c>
      <c r="E649">
        <v>3708802</v>
      </c>
      <c r="F649">
        <v>3709566</v>
      </c>
      <c r="G649" t="s">
        <v>3613</v>
      </c>
      <c r="H649">
        <v>255</v>
      </c>
      <c r="I649" t="s">
        <v>63</v>
      </c>
      <c r="J649">
        <v>5</v>
      </c>
      <c r="K649" t="str">
        <f>HYPERLINK("Gene3658-zp_tree_all.dnd", "Gene3658-tree")</f>
        <v>Gene3658-tree</v>
      </c>
      <c r="L649">
        <v>3</v>
      </c>
      <c r="M649">
        <v>2</v>
      </c>
      <c r="N649">
        <v>3</v>
      </c>
      <c r="O649">
        <v>2</v>
      </c>
      <c r="P649">
        <v>0.4</v>
      </c>
      <c r="Q649" t="s">
        <v>86</v>
      </c>
      <c r="R649" t="s">
        <v>124</v>
      </c>
      <c r="S649" t="s">
        <v>66</v>
      </c>
      <c r="T649" t="s">
        <v>66</v>
      </c>
      <c r="U649">
        <v>0</v>
      </c>
      <c r="V649">
        <v>0</v>
      </c>
      <c r="W649">
        <v>6</v>
      </c>
      <c r="X649">
        <v>0</v>
      </c>
      <c r="Y649">
        <v>0</v>
      </c>
      <c r="Z649">
        <v>0</v>
      </c>
      <c r="AA649">
        <v>0</v>
      </c>
      <c r="AB649">
        <v>3</v>
      </c>
      <c r="AC649">
        <v>0</v>
      </c>
      <c r="AD649">
        <v>0</v>
      </c>
      <c r="AE649">
        <v>0</v>
      </c>
      <c r="AF649">
        <v>0</v>
      </c>
      <c r="AG649">
        <v>3</v>
      </c>
      <c r="AH649">
        <v>0</v>
      </c>
      <c r="AI649">
        <v>5</v>
      </c>
      <c r="AJ649">
        <v>2</v>
      </c>
      <c r="AK649">
        <v>29</v>
      </c>
      <c r="AL649">
        <v>3</v>
      </c>
      <c r="AM649">
        <v>23</v>
      </c>
      <c r="AN649">
        <v>3</v>
      </c>
      <c r="AO649" t="s">
        <v>3614</v>
      </c>
      <c r="AP649" t="s">
        <v>3615</v>
      </c>
      <c r="AQ649">
        <v>0.15</v>
      </c>
      <c r="AR649" t="s">
        <v>69</v>
      </c>
      <c r="AS649">
        <v>52</v>
      </c>
      <c r="AT649">
        <v>6</v>
      </c>
      <c r="AU649">
        <v>3.49E-2</v>
      </c>
      <c r="AV649">
        <v>-4.7699999999999999E-3</v>
      </c>
      <c r="AW649">
        <v>0.15745999999999999</v>
      </c>
      <c r="AX649">
        <v>-2.2710000000000001E-2</v>
      </c>
      <c r="AY649">
        <v>5.0699999999999999E-3</v>
      </c>
      <c r="AZ649">
        <v>-9.3000000000000005E-4</v>
      </c>
      <c r="BA649">
        <v>3.218E-2</v>
      </c>
      <c r="BB649">
        <v>1</v>
      </c>
      <c r="BC649" t="s">
        <v>70</v>
      </c>
      <c r="BD649">
        <v>0.52600000000000002</v>
      </c>
      <c r="BE649">
        <v>7.2999999999999995E-2</v>
      </c>
      <c r="BF649" t="s">
        <v>71</v>
      </c>
      <c r="BG649">
        <v>3.3033033033033003E-2</v>
      </c>
      <c r="BI649">
        <v>58</v>
      </c>
      <c r="BJ649">
        <v>3.218E-2</v>
      </c>
      <c r="BK649">
        <v>3.3033033033033003E-2</v>
      </c>
    </row>
    <row r="650" spans="1:63">
      <c r="A650">
        <v>3684</v>
      </c>
      <c r="B650" t="s">
        <v>3618</v>
      </c>
      <c r="D650" t="s">
        <v>66</v>
      </c>
      <c r="E650">
        <v>3732528</v>
      </c>
      <c r="F650">
        <v>3733271</v>
      </c>
      <c r="G650" t="s">
        <v>3620</v>
      </c>
      <c r="H650">
        <v>248</v>
      </c>
      <c r="I650" t="s">
        <v>106</v>
      </c>
      <c r="J650">
        <v>4</v>
      </c>
      <c r="K650" t="str">
        <f>HYPERLINK("Gene3684-zp_tree_all.dnd", "Gene3684-tree")</f>
        <v>Gene3684-tree</v>
      </c>
      <c r="L650">
        <v>2</v>
      </c>
      <c r="M650">
        <v>2</v>
      </c>
      <c r="N650">
        <v>2</v>
      </c>
      <c r="O650">
        <v>2</v>
      </c>
      <c r="P650">
        <v>0.5</v>
      </c>
      <c r="Q650" t="s">
        <v>124</v>
      </c>
      <c r="R650" t="s">
        <v>124</v>
      </c>
      <c r="S650" t="s">
        <v>66</v>
      </c>
      <c r="T650" t="s">
        <v>66</v>
      </c>
      <c r="U650">
        <v>0</v>
      </c>
      <c r="V650">
        <v>0</v>
      </c>
      <c r="W650">
        <v>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8</v>
      </c>
      <c r="AH650">
        <v>0</v>
      </c>
      <c r="AI650">
        <v>3</v>
      </c>
      <c r="AJ650">
        <v>1</v>
      </c>
      <c r="AK650">
        <v>22</v>
      </c>
      <c r="AL650">
        <v>8</v>
      </c>
      <c r="AM650">
        <v>3</v>
      </c>
      <c r="AN650">
        <v>0</v>
      </c>
      <c r="AO650" t="s">
        <v>3621</v>
      </c>
      <c r="AP650" t="s">
        <v>68</v>
      </c>
      <c r="AQ650">
        <v>0.65200000000000002</v>
      </c>
      <c r="AR650" t="s">
        <v>69</v>
      </c>
      <c r="AS650">
        <v>25</v>
      </c>
      <c r="AT650">
        <v>8</v>
      </c>
      <c r="AU650">
        <v>2.2849999999999999E-2</v>
      </c>
      <c r="AV650">
        <v>-6.8300000000000001E-3</v>
      </c>
      <c r="AW650">
        <v>8.1320000000000003E-2</v>
      </c>
      <c r="AX650">
        <v>-2.3990000000000001E-2</v>
      </c>
      <c r="AY650">
        <v>7.0699999999999999E-3</v>
      </c>
      <c r="AZ650">
        <v>-2.4299999999999999E-3</v>
      </c>
      <c r="BA650">
        <v>8.6889999999999995E-2</v>
      </c>
      <c r="BB650">
        <v>1</v>
      </c>
      <c r="BC650" t="s">
        <v>70</v>
      </c>
      <c r="BD650">
        <v>-0.57499999999999996</v>
      </c>
      <c r="BE650">
        <v>-0.57499999999999996</v>
      </c>
      <c r="BF650" t="s">
        <v>71</v>
      </c>
      <c r="BG650">
        <v>-6.13496932515337E-2</v>
      </c>
      <c r="BI650">
        <v>33</v>
      </c>
      <c r="BJ650">
        <v>8.6889999999999995E-2</v>
      </c>
      <c r="BK650">
        <v>-6.13496932515337E-2</v>
      </c>
    </row>
    <row r="651" spans="1:63">
      <c r="A651">
        <v>3690</v>
      </c>
      <c r="B651" t="s">
        <v>3624</v>
      </c>
      <c r="D651" t="s">
        <v>66</v>
      </c>
      <c r="E651">
        <v>3740209</v>
      </c>
      <c r="F651">
        <v>3740547</v>
      </c>
      <c r="G651" t="s">
        <v>3626</v>
      </c>
      <c r="H651">
        <v>113</v>
      </c>
      <c r="I651" t="s">
        <v>63</v>
      </c>
      <c r="J651">
        <v>5</v>
      </c>
      <c r="K651" t="str">
        <f>HYPERLINK("Gene3690-zp_tree_all.dnd", "Gene3690-tree")</f>
        <v>Gene3690-tree</v>
      </c>
      <c r="L651">
        <v>3</v>
      </c>
      <c r="M651">
        <v>2</v>
      </c>
      <c r="N651">
        <v>3</v>
      </c>
      <c r="O651">
        <v>2</v>
      </c>
      <c r="P651">
        <v>0.4</v>
      </c>
      <c r="Q651" t="s">
        <v>86</v>
      </c>
      <c r="R651" t="s">
        <v>124</v>
      </c>
      <c r="S651" t="s">
        <v>66</v>
      </c>
      <c r="T651" t="s">
        <v>66</v>
      </c>
      <c r="U651">
        <v>1</v>
      </c>
      <c r="V651">
        <v>2</v>
      </c>
      <c r="W651">
        <v>2</v>
      </c>
      <c r="X651">
        <v>0.5</v>
      </c>
      <c r="Y651">
        <v>0</v>
      </c>
      <c r="Z651">
        <v>0</v>
      </c>
      <c r="AA651">
        <v>0</v>
      </c>
      <c r="AB651">
        <v>2</v>
      </c>
      <c r="AC651">
        <v>0</v>
      </c>
      <c r="AD651">
        <v>0</v>
      </c>
      <c r="AE651">
        <v>0</v>
      </c>
      <c r="AF651">
        <v>0</v>
      </c>
      <c r="AG651">
        <v>2</v>
      </c>
      <c r="AH651">
        <v>0</v>
      </c>
      <c r="AI651">
        <v>4</v>
      </c>
      <c r="AJ651">
        <v>2</v>
      </c>
      <c r="AK651">
        <v>8</v>
      </c>
      <c r="AL651">
        <v>2</v>
      </c>
      <c r="AM651">
        <v>10</v>
      </c>
      <c r="AN651">
        <v>2</v>
      </c>
      <c r="AO651" t="s">
        <v>3627</v>
      </c>
      <c r="AP651" t="s">
        <v>3628</v>
      </c>
      <c r="AQ651">
        <v>0.21</v>
      </c>
      <c r="AR651" t="s">
        <v>69</v>
      </c>
      <c r="AS651">
        <v>18</v>
      </c>
      <c r="AT651">
        <v>4</v>
      </c>
      <c r="AU651">
        <v>3.2149999999999998E-2</v>
      </c>
      <c r="AV651">
        <v>-5.28E-3</v>
      </c>
      <c r="AW651">
        <v>0.12057</v>
      </c>
      <c r="AX651">
        <v>-2.1170000000000001E-2</v>
      </c>
      <c r="AY651">
        <v>7.8300000000000002E-3</v>
      </c>
      <c r="AZ651">
        <v>-1.47E-3</v>
      </c>
      <c r="BA651">
        <v>6.4949999999999994E-2</v>
      </c>
      <c r="BB651">
        <v>1</v>
      </c>
      <c r="BC651" t="s">
        <v>70</v>
      </c>
      <c r="BD651">
        <v>0.60199999999999998</v>
      </c>
      <c r="BE651">
        <v>0.23499999999999999</v>
      </c>
      <c r="BF651" t="s">
        <v>71</v>
      </c>
      <c r="BG651">
        <v>7.9754601226993793E-2</v>
      </c>
      <c r="BI651">
        <v>22</v>
      </c>
      <c r="BJ651">
        <v>6.4949999999999994E-2</v>
      </c>
      <c r="BK651">
        <v>7.9754601226993793E-2</v>
      </c>
    </row>
    <row r="652" spans="1:63">
      <c r="A652">
        <v>3698</v>
      </c>
      <c r="B652" t="s">
        <v>3636</v>
      </c>
      <c r="D652" t="s">
        <v>66</v>
      </c>
      <c r="E652">
        <v>3745439</v>
      </c>
      <c r="F652">
        <v>3746245</v>
      </c>
      <c r="G652" t="s">
        <v>3638</v>
      </c>
      <c r="H652">
        <v>269</v>
      </c>
      <c r="I652" t="s">
        <v>85</v>
      </c>
      <c r="J652">
        <v>4</v>
      </c>
      <c r="K652" t="str">
        <f>HYPERLINK("Gene3698-zp_tree_all.dnd", "Gene3698-tree")</f>
        <v>Gene3698-tree</v>
      </c>
      <c r="L652">
        <v>2</v>
      </c>
      <c r="M652">
        <v>2</v>
      </c>
      <c r="N652">
        <v>2</v>
      </c>
      <c r="O652">
        <v>2</v>
      </c>
      <c r="P652">
        <v>0.5</v>
      </c>
      <c r="Q652" t="s">
        <v>124</v>
      </c>
      <c r="R652" t="s">
        <v>124</v>
      </c>
      <c r="S652" t="s">
        <v>66</v>
      </c>
      <c r="T652" t="s">
        <v>66</v>
      </c>
      <c r="U652">
        <v>0</v>
      </c>
      <c r="V652">
        <v>0</v>
      </c>
      <c r="W652">
        <v>5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5</v>
      </c>
      <c r="AH652">
        <v>0</v>
      </c>
      <c r="AI652">
        <v>3</v>
      </c>
      <c r="AJ652">
        <v>1</v>
      </c>
      <c r="AK652">
        <v>35</v>
      </c>
      <c r="AL652">
        <v>5</v>
      </c>
      <c r="AM652">
        <v>1</v>
      </c>
      <c r="AN652">
        <v>0</v>
      </c>
      <c r="AO652" t="s">
        <v>3639</v>
      </c>
      <c r="AP652" t="s">
        <v>68</v>
      </c>
      <c r="AQ652">
        <v>0.74</v>
      </c>
      <c r="AR652" t="s">
        <v>69</v>
      </c>
      <c r="AS652">
        <v>36</v>
      </c>
      <c r="AT652">
        <v>5</v>
      </c>
      <c r="AU652">
        <v>2.52E-2</v>
      </c>
      <c r="AV652">
        <v>-8.1300000000000001E-3</v>
      </c>
      <c r="AW652">
        <v>0.1087</v>
      </c>
      <c r="AX652">
        <v>-3.635E-2</v>
      </c>
      <c r="AY652">
        <v>4.0299999999999997E-3</v>
      </c>
      <c r="AZ652">
        <v>-1.25E-3</v>
      </c>
      <c r="BA652">
        <v>3.7109999999999997E-2</v>
      </c>
      <c r="BB652">
        <v>1</v>
      </c>
      <c r="BC652" t="s">
        <v>70</v>
      </c>
      <c r="BD652">
        <v>-0.70699999999999996</v>
      </c>
      <c r="BE652">
        <v>-0.94399999999999995</v>
      </c>
      <c r="BF652" t="s">
        <v>71</v>
      </c>
      <c r="BG652">
        <v>-1.0526315789473601E-2</v>
      </c>
      <c r="BI652">
        <v>41</v>
      </c>
      <c r="BJ652">
        <v>3.7109999999999997E-2</v>
      </c>
      <c r="BK652">
        <v>-1.0526315789473601E-2</v>
      </c>
    </row>
    <row r="653" spans="1:63">
      <c r="A653">
        <v>3700</v>
      </c>
      <c r="B653" t="s">
        <v>3640</v>
      </c>
      <c r="D653" t="s">
        <v>66</v>
      </c>
      <c r="E653">
        <v>3747257</v>
      </c>
      <c r="F653">
        <v>3748255</v>
      </c>
      <c r="G653" t="s">
        <v>3642</v>
      </c>
      <c r="H653">
        <v>333</v>
      </c>
      <c r="I653" t="s">
        <v>63</v>
      </c>
      <c r="J653">
        <v>5</v>
      </c>
      <c r="K653" t="str">
        <f>HYPERLINK("Gene3700-zp_tree_all.dnd", "Gene3700-tree")</f>
        <v>Gene3700-tree</v>
      </c>
      <c r="L653">
        <v>3</v>
      </c>
      <c r="M653">
        <v>2</v>
      </c>
      <c r="N653">
        <v>3</v>
      </c>
      <c r="O653">
        <v>2</v>
      </c>
      <c r="P653">
        <v>0.4</v>
      </c>
      <c r="Q653" t="s">
        <v>86</v>
      </c>
      <c r="R653" t="s">
        <v>124</v>
      </c>
      <c r="S653" t="s">
        <v>66</v>
      </c>
      <c r="T653" t="s">
        <v>66</v>
      </c>
      <c r="U653">
        <v>0</v>
      </c>
      <c r="V653">
        <v>0</v>
      </c>
      <c r="W653">
        <v>3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3</v>
      </c>
      <c r="AH653">
        <v>0</v>
      </c>
      <c r="AI653">
        <v>5</v>
      </c>
      <c r="AJ653">
        <v>2</v>
      </c>
      <c r="AK653">
        <v>35</v>
      </c>
      <c r="AL653">
        <v>3</v>
      </c>
      <c r="AM653">
        <v>13</v>
      </c>
      <c r="AN653">
        <v>0</v>
      </c>
      <c r="AO653" t="s">
        <v>3643</v>
      </c>
      <c r="AP653" t="s">
        <v>68</v>
      </c>
      <c r="AQ653">
        <v>0.77200000000000002</v>
      </c>
      <c r="AR653" t="s">
        <v>69</v>
      </c>
      <c r="AS653">
        <v>48</v>
      </c>
      <c r="AT653">
        <v>3</v>
      </c>
      <c r="AU653">
        <v>2.172E-2</v>
      </c>
      <c r="AV653">
        <v>-3.9899999999999996E-3</v>
      </c>
      <c r="AW653">
        <v>9.3310000000000004E-2</v>
      </c>
      <c r="AX653">
        <v>-1.7409999999999998E-2</v>
      </c>
      <c r="AY653">
        <v>1.58E-3</v>
      </c>
      <c r="AZ653">
        <v>-4.0999999999999999E-4</v>
      </c>
      <c r="BA653">
        <v>1.694E-2</v>
      </c>
      <c r="BB653">
        <v>1</v>
      </c>
      <c r="BC653" t="s">
        <v>70</v>
      </c>
      <c r="BD653">
        <v>-0.13</v>
      </c>
      <c r="BE653">
        <v>-0.64200000000000002</v>
      </c>
      <c r="BF653" t="s">
        <v>71</v>
      </c>
      <c r="BG653">
        <v>0.11062906724511901</v>
      </c>
      <c r="BI653">
        <v>51</v>
      </c>
      <c r="BJ653">
        <v>1.694E-2</v>
      </c>
      <c r="BK653">
        <v>0.11062906724511901</v>
      </c>
    </row>
    <row r="654" spans="1:63">
      <c r="A654">
        <v>3725</v>
      </c>
      <c r="B654" t="s">
        <v>3661</v>
      </c>
      <c r="D654" t="s">
        <v>66</v>
      </c>
      <c r="E654">
        <v>3768794</v>
      </c>
      <c r="F654">
        <v>3769108</v>
      </c>
      <c r="G654" t="s">
        <v>3663</v>
      </c>
      <c r="H654">
        <v>105</v>
      </c>
      <c r="I654" t="s">
        <v>85</v>
      </c>
      <c r="J654">
        <v>4</v>
      </c>
      <c r="K654" t="str">
        <f>HYPERLINK("Gene3725-zp_tree_all.dnd", "Gene3725-tree")</f>
        <v>Gene3725-tree</v>
      </c>
      <c r="L654">
        <v>3</v>
      </c>
      <c r="M654">
        <v>1</v>
      </c>
      <c r="N654">
        <v>3</v>
      </c>
      <c r="O654">
        <v>1</v>
      </c>
      <c r="P654">
        <v>0.25</v>
      </c>
      <c r="Q654" t="s">
        <v>86</v>
      </c>
      <c r="R654" t="s">
        <v>65</v>
      </c>
      <c r="S654" t="s">
        <v>66</v>
      </c>
      <c r="T654" t="s">
        <v>66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</v>
      </c>
      <c r="AH654">
        <v>0</v>
      </c>
      <c r="AI654">
        <v>3</v>
      </c>
      <c r="AJ654">
        <v>1</v>
      </c>
      <c r="AK654">
        <v>16</v>
      </c>
      <c r="AL654">
        <v>1</v>
      </c>
      <c r="AM654">
        <v>2</v>
      </c>
      <c r="AN654">
        <v>0</v>
      </c>
      <c r="AO654" t="s">
        <v>3664</v>
      </c>
      <c r="AP654" t="s">
        <v>68</v>
      </c>
      <c r="AQ654">
        <v>0.60699999999999998</v>
      </c>
      <c r="AR654" t="s">
        <v>69</v>
      </c>
      <c r="AS654">
        <v>18</v>
      </c>
      <c r="AT654">
        <v>1</v>
      </c>
      <c r="AU654">
        <v>3.1220000000000001E-2</v>
      </c>
      <c r="AV654">
        <v>-7.0000000000000001E-3</v>
      </c>
      <c r="AW654">
        <v>0.14177000000000001</v>
      </c>
      <c r="AX654">
        <v>-3.6060000000000002E-2</v>
      </c>
      <c r="AY654">
        <v>2.0899999999999998E-3</v>
      </c>
      <c r="AZ654">
        <v>-7.7999999999999999E-4</v>
      </c>
      <c r="BA654">
        <v>1.472E-2</v>
      </c>
      <c r="BB654">
        <v>1</v>
      </c>
      <c r="BC654" t="s">
        <v>70</v>
      </c>
      <c r="BD654">
        <v>-0.52400000000000002</v>
      </c>
      <c r="BE654">
        <v>-0.52400000000000002</v>
      </c>
      <c r="BF654" t="s">
        <v>71</v>
      </c>
      <c r="BG654">
        <v>0.25</v>
      </c>
      <c r="BI654">
        <v>19</v>
      </c>
      <c r="BJ654">
        <v>1.472E-2</v>
      </c>
      <c r="BK654">
        <v>0.25</v>
      </c>
    </row>
    <row r="655" spans="1:63">
      <c r="A655">
        <v>3730</v>
      </c>
      <c r="B655" t="s">
        <v>3665</v>
      </c>
      <c r="D655" t="s">
        <v>66</v>
      </c>
      <c r="E655">
        <v>3773369</v>
      </c>
      <c r="F655">
        <v>3774154</v>
      </c>
      <c r="G655" t="s">
        <v>3667</v>
      </c>
      <c r="H655">
        <v>262</v>
      </c>
      <c r="I655" t="s">
        <v>85</v>
      </c>
      <c r="J655">
        <v>4</v>
      </c>
      <c r="K655" t="str">
        <f>HYPERLINK("Gene3730-zp_tree_all.dnd", "Gene3730-tree")</f>
        <v>Gene3730-tree</v>
      </c>
      <c r="L655">
        <v>1</v>
      </c>
      <c r="M655">
        <v>3</v>
      </c>
      <c r="N655">
        <v>1</v>
      </c>
      <c r="O655">
        <v>3</v>
      </c>
      <c r="P655">
        <v>0.75</v>
      </c>
      <c r="Q655" t="s">
        <v>65</v>
      </c>
      <c r="R655" t="s">
        <v>86</v>
      </c>
      <c r="S655" t="s">
        <v>66</v>
      </c>
      <c r="T655" t="s">
        <v>66</v>
      </c>
      <c r="U655">
        <v>0</v>
      </c>
      <c r="V655">
        <v>0</v>
      </c>
      <c r="W655">
        <v>5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5</v>
      </c>
      <c r="AH655">
        <v>0</v>
      </c>
      <c r="AI655">
        <v>3</v>
      </c>
      <c r="AJ655">
        <v>1</v>
      </c>
      <c r="AK655">
        <v>36</v>
      </c>
      <c r="AL655">
        <v>4</v>
      </c>
      <c r="AM655">
        <v>1</v>
      </c>
      <c r="AN655">
        <v>1</v>
      </c>
      <c r="AO655" t="s">
        <v>3668</v>
      </c>
      <c r="AP655" t="s">
        <v>3669</v>
      </c>
      <c r="AQ655">
        <v>6.77</v>
      </c>
      <c r="AR655" t="s">
        <v>69</v>
      </c>
      <c r="AS655">
        <v>37</v>
      </c>
      <c r="AT655">
        <v>5</v>
      </c>
      <c r="AU655">
        <v>2.7029999999999998E-2</v>
      </c>
      <c r="AV655">
        <v>-8.6300000000000005E-3</v>
      </c>
      <c r="AW655">
        <v>0.11717</v>
      </c>
      <c r="AX655">
        <v>-4.0259999999999997E-2</v>
      </c>
      <c r="AY655">
        <v>4.4400000000000004E-3</v>
      </c>
      <c r="AZ655">
        <v>-1.0200000000000001E-3</v>
      </c>
      <c r="BA655">
        <v>3.7879999999999997E-2</v>
      </c>
      <c r="BB655">
        <v>1</v>
      </c>
      <c r="BC655" t="s">
        <v>70</v>
      </c>
      <c r="BD655">
        <v>-0.55600000000000005</v>
      </c>
      <c r="BE655">
        <v>-0.78800000000000003</v>
      </c>
      <c r="BF655" t="s">
        <v>71</v>
      </c>
      <c r="BG655">
        <v>0.144414168937329</v>
      </c>
      <c r="BI655">
        <v>42</v>
      </c>
      <c r="BJ655">
        <v>3.7879999999999997E-2</v>
      </c>
      <c r="BK655">
        <v>0.144414168937329</v>
      </c>
    </row>
    <row r="656" spans="1:63">
      <c r="A656">
        <v>3735</v>
      </c>
      <c r="B656" t="s">
        <v>3670</v>
      </c>
      <c r="D656" t="s">
        <v>66</v>
      </c>
      <c r="E656">
        <v>3777952</v>
      </c>
      <c r="F656">
        <v>3779259</v>
      </c>
      <c r="G656" t="s">
        <v>3672</v>
      </c>
      <c r="H656">
        <v>436</v>
      </c>
      <c r="I656" t="s">
        <v>63</v>
      </c>
      <c r="J656">
        <v>5</v>
      </c>
      <c r="K656" t="str">
        <f>HYPERLINK("Gene3735-zp_tree_all.dnd", "Gene3735-tree")</f>
        <v>Gene3735-tree</v>
      </c>
      <c r="L656">
        <v>4</v>
      </c>
      <c r="M656">
        <v>1</v>
      </c>
      <c r="N656">
        <v>4</v>
      </c>
      <c r="O656">
        <v>1</v>
      </c>
      <c r="P656">
        <v>0.2</v>
      </c>
      <c r="Q656" t="s">
        <v>64</v>
      </c>
      <c r="R656" t="s">
        <v>65</v>
      </c>
      <c r="S656" t="s">
        <v>66</v>
      </c>
      <c r="T656" t="s">
        <v>66</v>
      </c>
      <c r="U656">
        <v>0</v>
      </c>
      <c r="V656">
        <v>0</v>
      </c>
      <c r="W656">
        <v>4</v>
      </c>
      <c r="X656">
        <v>0</v>
      </c>
      <c r="Y656">
        <v>0</v>
      </c>
      <c r="Z656">
        <v>0</v>
      </c>
      <c r="AA656">
        <v>0</v>
      </c>
      <c r="AB656">
        <v>2</v>
      </c>
      <c r="AC656">
        <v>0</v>
      </c>
      <c r="AD656">
        <v>0</v>
      </c>
      <c r="AE656">
        <v>0</v>
      </c>
      <c r="AF656">
        <v>0</v>
      </c>
      <c r="AG656">
        <v>2</v>
      </c>
      <c r="AH656">
        <v>0</v>
      </c>
      <c r="AI656">
        <v>5</v>
      </c>
      <c r="AJ656">
        <v>2</v>
      </c>
      <c r="AK656">
        <v>21</v>
      </c>
      <c r="AL656">
        <v>2</v>
      </c>
      <c r="AM656">
        <v>33</v>
      </c>
      <c r="AN656">
        <v>2</v>
      </c>
      <c r="AO656" t="s">
        <v>3673</v>
      </c>
      <c r="AP656" t="s">
        <v>3674</v>
      </c>
      <c r="AQ656">
        <v>0.189</v>
      </c>
      <c r="AR656" t="s">
        <v>69</v>
      </c>
      <c r="AS656">
        <v>54</v>
      </c>
      <c r="AT656">
        <v>4</v>
      </c>
      <c r="AU656">
        <v>2.24E-2</v>
      </c>
      <c r="AV656">
        <v>-4.1200000000000004E-3</v>
      </c>
      <c r="AW656">
        <v>9.5170000000000005E-2</v>
      </c>
      <c r="AX656">
        <v>-1.8329999999999999E-2</v>
      </c>
      <c r="AY656">
        <v>2.0100000000000001E-3</v>
      </c>
      <c r="AZ656">
        <v>-4.0000000000000002E-4</v>
      </c>
      <c r="BA656">
        <v>2.1149999999999999E-2</v>
      </c>
      <c r="BB656">
        <v>1</v>
      </c>
      <c r="BC656" t="s">
        <v>70</v>
      </c>
      <c r="BD656">
        <v>0.83</v>
      </c>
      <c r="BE656">
        <v>0.68700000000000006</v>
      </c>
      <c r="BF656" t="s">
        <v>71</v>
      </c>
      <c r="BG656">
        <v>0.111853088480801</v>
      </c>
      <c r="BI656">
        <v>58</v>
      </c>
      <c r="BJ656">
        <v>2.1149999999999999E-2</v>
      </c>
      <c r="BK656">
        <v>0.111853088480801</v>
      </c>
    </row>
    <row r="657" spans="1:63">
      <c r="A657">
        <v>3736</v>
      </c>
      <c r="B657" t="s">
        <v>3675</v>
      </c>
      <c r="D657" t="s">
        <v>66</v>
      </c>
      <c r="E657">
        <v>3779296</v>
      </c>
      <c r="F657">
        <v>3780033</v>
      </c>
      <c r="G657" t="s">
        <v>74</v>
      </c>
      <c r="H657">
        <v>246</v>
      </c>
      <c r="I657" t="s">
        <v>63</v>
      </c>
      <c r="J657">
        <v>5</v>
      </c>
      <c r="K657" t="str">
        <f>HYPERLINK("Gene3736-zp_tree_all.dnd", "Gene3736-tree")</f>
        <v>Gene3736-tree</v>
      </c>
      <c r="L657">
        <v>0</v>
      </c>
      <c r="M657">
        <v>5</v>
      </c>
      <c r="N657">
        <v>0</v>
      </c>
      <c r="O657">
        <v>5</v>
      </c>
      <c r="P657">
        <v>1</v>
      </c>
      <c r="Q657" t="s">
        <v>66</v>
      </c>
      <c r="R657" t="s">
        <v>96</v>
      </c>
      <c r="S657" t="s">
        <v>66</v>
      </c>
      <c r="T657" t="s">
        <v>66</v>
      </c>
      <c r="U657">
        <v>2</v>
      </c>
      <c r="V657">
        <v>4</v>
      </c>
      <c r="W657">
        <v>18</v>
      </c>
      <c r="X657">
        <v>0.18182000000000001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4</v>
      </c>
      <c r="AF657">
        <v>4</v>
      </c>
      <c r="AG657">
        <v>18</v>
      </c>
      <c r="AH657">
        <v>0.18182000000000001</v>
      </c>
      <c r="AI657">
        <v>5</v>
      </c>
      <c r="AJ657">
        <v>2</v>
      </c>
      <c r="AK657">
        <v>7</v>
      </c>
      <c r="AL657">
        <v>15</v>
      </c>
      <c r="AM657">
        <v>15</v>
      </c>
      <c r="AN657">
        <v>8</v>
      </c>
      <c r="AO657" t="s">
        <v>3677</v>
      </c>
      <c r="AP657" t="s">
        <v>3678</v>
      </c>
      <c r="AQ657">
        <v>2.4849999999999999</v>
      </c>
      <c r="AR657" t="s">
        <v>239</v>
      </c>
      <c r="AS657">
        <v>22</v>
      </c>
      <c r="AT657">
        <v>23</v>
      </c>
      <c r="AU657">
        <v>3.0620000000000001E-2</v>
      </c>
      <c r="AV657">
        <v>-4.2599999999999999E-3</v>
      </c>
      <c r="AW657">
        <v>8.387E-2</v>
      </c>
      <c r="AX657">
        <v>-1.6799999999999999E-2</v>
      </c>
      <c r="AY657">
        <v>1.8409999999999999E-2</v>
      </c>
      <c r="AZ657">
        <v>-1.65E-3</v>
      </c>
      <c r="BA657">
        <v>0.2195</v>
      </c>
      <c r="BB657">
        <v>1</v>
      </c>
      <c r="BC657" t="s">
        <v>70</v>
      </c>
      <c r="BD657">
        <v>0.34899999999999998</v>
      </c>
      <c r="BE657">
        <v>0.34899999999999998</v>
      </c>
      <c r="BF657" t="s">
        <v>71</v>
      </c>
      <c r="BG657">
        <v>0.104477611940298</v>
      </c>
      <c r="BI657">
        <v>45</v>
      </c>
      <c r="BJ657">
        <v>0.2195</v>
      </c>
      <c r="BK657">
        <v>0.104477611940298</v>
      </c>
    </row>
    <row r="658" spans="1:63">
      <c r="A658">
        <v>3739</v>
      </c>
      <c r="B658" t="s">
        <v>3679</v>
      </c>
      <c r="D658" t="s">
        <v>66</v>
      </c>
      <c r="E658">
        <v>3781072</v>
      </c>
      <c r="F658">
        <v>3781467</v>
      </c>
      <c r="G658" t="s">
        <v>3681</v>
      </c>
      <c r="H658">
        <v>132</v>
      </c>
      <c r="I658" t="s">
        <v>63</v>
      </c>
      <c r="J658">
        <v>5</v>
      </c>
      <c r="K658" t="str">
        <f>HYPERLINK("Gene3739-zp_tree_all.dnd", "Gene3739-tree")</f>
        <v>Gene3739-tree</v>
      </c>
      <c r="L658">
        <v>4</v>
      </c>
      <c r="M658">
        <v>1</v>
      </c>
      <c r="N658">
        <v>4</v>
      </c>
      <c r="O658">
        <v>1</v>
      </c>
      <c r="P658">
        <v>0.2</v>
      </c>
      <c r="Q658" t="s">
        <v>64</v>
      </c>
      <c r="R658" t="s">
        <v>65</v>
      </c>
      <c r="S658" t="s">
        <v>66</v>
      </c>
      <c r="T658" t="s">
        <v>66</v>
      </c>
      <c r="U658">
        <v>0</v>
      </c>
      <c r="V658">
        <v>0</v>
      </c>
      <c r="W658">
        <v>3</v>
      </c>
      <c r="X658">
        <v>0</v>
      </c>
      <c r="Y658">
        <v>0</v>
      </c>
      <c r="Z658">
        <v>0</v>
      </c>
      <c r="AA658">
        <v>0</v>
      </c>
      <c r="AB658">
        <v>2</v>
      </c>
      <c r="AC658">
        <v>0</v>
      </c>
      <c r="AD658">
        <v>0</v>
      </c>
      <c r="AE658">
        <v>0</v>
      </c>
      <c r="AF658">
        <v>0</v>
      </c>
      <c r="AG658">
        <v>1</v>
      </c>
      <c r="AH658">
        <v>0</v>
      </c>
      <c r="AI658">
        <v>3</v>
      </c>
      <c r="AJ658">
        <v>2</v>
      </c>
      <c r="AK658">
        <v>3</v>
      </c>
      <c r="AL658">
        <v>1</v>
      </c>
      <c r="AM658">
        <v>9</v>
      </c>
      <c r="AN658">
        <v>2</v>
      </c>
      <c r="AO658" t="s">
        <v>3682</v>
      </c>
      <c r="AP658" t="s">
        <v>3683</v>
      </c>
      <c r="AQ658">
        <v>0.21</v>
      </c>
      <c r="AR658" t="s">
        <v>69</v>
      </c>
      <c r="AS658">
        <v>12</v>
      </c>
      <c r="AT658">
        <v>3</v>
      </c>
      <c r="AU658">
        <v>2.0709999999999999E-2</v>
      </c>
      <c r="AV658">
        <v>-3.96E-3</v>
      </c>
      <c r="AW658">
        <v>7.3380000000000001E-2</v>
      </c>
      <c r="AX658">
        <v>-1.457E-2</v>
      </c>
      <c r="AY658">
        <v>5.3600000000000002E-3</v>
      </c>
      <c r="AZ658">
        <v>-9.3999999999999997E-4</v>
      </c>
      <c r="BA658">
        <v>7.3099999999999998E-2</v>
      </c>
      <c r="BB658">
        <v>1</v>
      </c>
      <c r="BC658" t="s">
        <v>70</v>
      </c>
      <c r="BD658">
        <v>1.0149999999999999</v>
      </c>
      <c r="BE658">
        <v>1.0149999999999999</v>
      </c>
      <c r="BF658" t="s">
        <v>71</v>
      </c>
      <c r="BG658">
        <v>0.104761904761904</v>
      </c>
      <c r="BI658">
        <v>15</v>
      </c>
      <c r="BJ658">
        <v>7.3099999999999998E-2</v>
      </c>
      <c r="BK658">
        <v>0.104761904761904</v>
      </c>
    </row>
    <row r="659" spans="1:63">
      <c r="A659">
        <v>3740</v>
      </c>
      <c r="B659" t="s">
        <v>3684</v>
      </c>
      <c r="D659" t="s">
        <v>66</v>
      </c>
      <c r="E659">
        <v>3781494</v>
      </c>
      <c r="F659">
        <v>3782912</v>
      </c>
      <c r="G659" t="s">
        <v>3686</v>
      </c>
      <c r="H659">
        <v>473</v>
      </c>
      <c r="I659" t="s">
        <v>63</v>
      </c>
      <c r="J659">
        <v>5</v>
      </c>
      <c r="K659" t="str">
        <f>HYPERLINK("Gene3740-zp_tree_all.dnd", "Gene3740-tree")</f>
        <v>Gene3740-tree</v>
      </c>
      <c r="L659">
        <v>4</v>
      </c>
      <c r="M659">
        <v>1</v>
      </c>
      <c r="N659">
        <v>4</v>
      </c>
      <c r="O659">
        <v>1</v>
      </c>
      <c r="P659">
        <v>0.2</v>
      </c>
      <c r="Q659" t="s">
        <v>64</v>
      </c>
      <c r="R659" t="s">
        <v>65</v>
      </c>
      <c r="S659" t="s">
        <v>66</v>
      </c>
      <c r="T659" t="s">
        <v>66</v>
      </c>
      <c r="U659">
        <v>0</v>
      </c>
      <c r="V659">
        <v>0</v>
      </c>
      <c r="W659">
        <v>5</v>
      </c>
      <c r="X659">
        <v>0</v>
      </c>
      <c r="Y659">
        <v>0</v>
      </c>
      <c r="Z659">
        <v>0</v>
      </c>
      <c r="AA659">
        <v>0</v>
      </c>
      <c r="AB659">
        <v>4</v>
      </c>
      <c r="AC659">
        <v>0</v>
      </c>
      <c r="AD659">
        <v>0</v>
      </c>
      <c r="AE659">
        <v>0</v>
      </c>
      <c r="AF659">
        <v>0</v>
      </c>
      <c r="AG659">
        <v>1</v>
      </c>
      <c r="AH659">
        <v>0</v>
      </c>
      <c r="AI659">
        <v>5</v>
      </c>
      <c r="AJ659">
        <v>1</v>
      </c>
      <c r="AK659">
        <v>27</v>
      </c>
      <c r="AL659">
        <v>1</v>
      </c>
      <c r="AM659">
        <v>33</v>
      </c>
      <c r="AN659">
        <v>4</v>
      </c>
      <c r="AO659" t="s">
        <v>3687</v>
      </c>
      <c r="AP659" t="s">
        <v>3688</v>
      </c>
      <c r="AQ659">
        <v>1.085</v>
      </c>
      <c r="AR659" t="s">
        <v>69</v>
      </c>
      <c r="AS659">
        <v>60</v>
      </c>
      <c r="AT659">
        <v>5</v>
      </c>
      <c r="AU659">
        <v>2.3400000000000001E-2</v>
      </c>
      <c r="AV659">
        <v>-4.2900000000000004E-3</v>
      </c>
      <c r="AW659">
        <v>9.7309999999999994E-2</v>
      </c>
      <c r="AX659">
        <v>-1.8159999999999999E-2</v>
      </c>
      <c r="AY659">
        <v>2.5999999999999999E-3</v>
      </c>
      <c r="AZ659">
        <v>-5.1000000000000004E-4</v>
      </c>
      <c r="BA659">
        <v>2.6749999999999999E-2</v>
      </c>
      <c r="BB659">
        <v>1</v>
      </c>
      <c r="BC659" t="s">
        <v>70</v>
      </c>
      <c r="BD659">
        <v>0.61099999999999999</v>
      </c>
      <c r="BE659">
        <v>0.61099999999999999</v>
      </c>
      <c r="BF659" t="s">
        <v>71</v>
      </c>
      <c r="BG659">
        <v>8.1723625557206497E-2</v>
      </c>
      <c r="BI659">
        <v>65</v>
      </c>
      <c r="BJ659">
        <v>2.6749999999999999E-2</v>
      </c>
      <c r="BK659">
        <v>8.1723625557206497E-2</v>
      </c>
    </row>
    <row r="660" spans="1:63">
      <c r="A660">
        <v>3741</v>
      </c>
      <c r="B660" t="s">
        <v>3689</v>
      </c>
      <c r="D660" t="s">
        <v>66</v>
      </c>
      <c r="E660">
        <v>3782941</v>
      </c>
      <c r="F660">
        <v>3783801</v>
      </c>
      <c r="G660" t="s">
        <v>3691</v>
      </c>
      <c r="H660">
        <v>287</v>
      </c>
      <c r="I660" t="s">
        <v>63</v>
      </c>
      <c r="J660">
        <v>5</v>
      </c>
      <c r="K660" t="str">
        <f>HYPERLINK("Gene3741-zp_tree_all.dnd", "Gene3741-tree")</f>
        <v>Gene3741-tree</v>
      </c>
      <c r="L660">
        <v>4</v>
      </c>
      <c r="M660">
        <v>1</v>
      </c>
      <c r="N660">
        <v>3</v>
      </c>
      <c r="O660">
        <v>1</v>
      </c>
      <c r="P660">
        <v>0.25</v>
      </c>
      <c r="Q660" t="s">
        <v>112</v>
      </c>
      <c r="R660" t="s">
        <v>65</v>
      </c>
      <c r="S660" t="s">
        <v>66</v>
      </c>
      <c r="T660" t="s">
        <v>66</v>
      </c>
      <c r="U660">
        <v>0</v>
      </c>
      <c r="V660">
        <v>0</v>
      </c>
      <c r="W660">
        <v>3</v>
      </c>
      <c r="X660">
        <v>0</v>
      </c>
      <c r="Y660">
        <v>0</v>
      </c>
      <c r="Z660">
        <v>0</v>
      </c>
      <c r="AA660">
        <v>0</v>
      </c>
      <c r="AB660">
        <v>2</v>
      </c>
      <c r="AC660">
        <v>0</v>
      </c>
      <c r="AD660">
        <v>0</v>
      </c>
      <c r="AE660">
        <v>0</v>
      </c>
      <c r="AF660">
        <v>0</v>
      </c>
      <c r="AG660">
        <v>1</v>
      </c>
      <c r="AH660">
        <v>0</v>
      </c>
      <c r="AI660">
        <v>4</v>
      </c>
      <c r="AJ660">
        <v>1</v>
      </c>
      <c r="AK660">
        <v>21</v>
      </c>
      <c r="AL660">
        <v>1</v>
      </c>
      <c r="AM660">
        <v>15</v>
      </c>
      <c r="AN660">
        <v>2</v>
      </c>
      <c r="AO660" t="s">
        <v>3692</v>
      </c>
      <c r="AP660" t="s">
        <v>3693</v>
      </c>
      <c r="AQ660">
        <v>1.087</v>
      </c>
      <c r="AR660" t="s">
        <v>69</v>
      </c>
      <c r="AS660">
        <v>36</v>
      </c>
      <c r="AT660">
        <v>3</v>
      </c>
      <c r="AU660">
        <v>2.5749999999999999E-2</v>
      </c>
      <c r="AV660">
        <v>-3.8899999999999998E-3</v>
      </c>
      <c r="AW660">
        <v>0.11051</v>
      </c>
      <c r="AX660">
        <v>-1.6959999999999999E-2</v>
      </c>
      <c r="AY660">
        <v>2.7799999999999999E-3</v>
      </c>
      <c r="AZ660">
        <v>-4.6999999999999999E-4</v>
      </c>
      <c r="BA660">
        <v>2.5149999999999999E-2</v>
      </c>
      <c r="BB660">
        <v>1</v>
      </c>
      <c r="BC660" t="s">
        <v>70</v>
      </c>
      <c r="BD660">
        <v>0.437</v>
      </c>
      <c r="BE660">
        <v>0.23100000000000001</v>
      </c>
      <c r="BF660" t="s">
        <v>71</v>
      </c>
      <c r="BG660">
        <v>8.4832904884318702E-2</v>
      </c>
      <c r="BI660">
        <v>39</v>
      </c>
      <c r="BJ660">
        <v>2.5149999999999999E-2</v>
      </c>
      <c r="BK660">
        <v>8.4832904884318702E-2</v>
      </c>
    </row>
    <row r="661" spans="1:63">
      <c r="A661">
        <v>3742</v>
      </c>
      <c r="B661" t="s">
        <v>3694</v>
      </c>
      <c r="D661" t="s">
        <v>66</v>
      </c>
      <c r="E661">
        <v>3783881</v>
      </c>
      <c r="F661">
        <v>3785386</v>
      </c>
      <c r="G661" t="s">
        <v>3696</v>
      </c>
      <c r="H661">
        <v>502</v>
      </c>
      <c r="I661" t="s">
        <v>63</v>
      </c>
      <c r="J661">
        <v>5</v>
      </c>
      <c r="K661" t="str">
        <f>HYPERLINK("Gene3742-zp_tree_all.dnd", "Gene3742-tree")</f>
        <v>Gene3742-tree</v>
      </c>
      <c r="L661">
        <v>2</v>
      </c>
      <c r="M661">
        <v>3</v>
      </c>
      <c r="N661">
        <v>2</v>
      </c>
      <c r="O661">
        <v>3</v>
      </c>
      <c r="P661">
        <v>0.6</v>
      </c>
      <c r="Q661" t="s">
        <v>124</v>
      </c>
      <c r="R661" t="s">
        <v>86</v>
      </c>
      <c r="S661" t="s">
        <v>66</v>
      </c>
      <c r="T661" t="s">
        <v>66</v>
      </c>
      <c r="U661">
        <v>1</v>
      </c>
      <c r="V661">
        <v>2</v>
      </c>
      <c r="W661">
        <v>2</v>
      </c>
      <c r="X661">
        <v>0.5</v>
      </c>
      <c r="Y661">
        <v>0</v>
      </c>
      <c r="Z661">
        <v>0</v>
      </c>
      <c r="AA661">
        <v>0</v>
      </c>
      <c r="AB661">
        <v>1</v>
      </c>
      <c r="AC661">
        <v>0</v>
      </c>
      <c r="AD661">
        <v>2</v>
      </c>
      <c r="AE661">
        <v>0</v>
      </c>
      <c r="AF661">
        <v>2</v>
      </c>
      <c r="AG661">
        <v>1</v>
      </c>
      <c r="AH661">
        <v>0.66666999999999998</v>
      </c>
      <c r="AI661">
        <v>5</v>
      </c>
      <c r="AJ661">
        <v>2</v>
      </c>
      <c r="AK661">
        <v>28</v>
      </c>
      <c r="AL661">
        <v>3</v>
      </c>
      <c r="AM661">
        <v>31</v>
      </c>
      <c r="AN661">
        <v>1</v>
      </c>
      <c r="AO661" t="s">
        <v>3697</v>
      </c>
      <c r="AP661" t="s">
        <v>3698</v>
      </c>
      <c r="AQ661">
        <v>1.494</v>
      </c>
      <c r="AR661" t="s">
        <v>69</v>
      </c>
      <c r="AS661">
        <v>59</v>
      </c>
      <c r="AT661">
        <v>4</v>
      </c>
      <c r="AU661">
        <v>2.0389999999999998E-2</v>
      </c>
      <c r="AV661">
        <v>-3.1099999999999999E-3</v>
      </c>
      <c r="AW661">
        <v>8.3299999999999999E-2</v>
      </c>
      <c r="AX661">
        <v>-1.321E-2</v>
      </c>
      <c r="AY661">
        <v>1.42E-3</v>
      </c>
      <c r="AZ661">
        <v>-2.5999999999999998E-4</v>
      </c>
      <c r="BA661">
        <v>1.6990000000000002E-2</v>
      </c>
      <c r="BB661">
        <v>1</v>
      </c>
      <c r="BC661" t="s">
        <v>70</v>
      </c>
      <c r="BD661">
        <v>0.77700000000000002</v>
      </c>
      <c r="BE661">
        <v>0.53200000000000003</v>
      </c>
      <c r="BF661" t="s">
        <v>71</v>
      </c>
      <c r="BG661">
        <v>1.0869565217391301E-2</v>
      </c>
      <c r="BI661">
        <v>63</v>
      </c>
      <c r="BJ661">
        <v>1.6990000000000002E-2</v>
      </c>
      <c r="BK661">
        <v>1.0869565217391301E-2</v>
      </c>
    </row>
    <row r="662" spans="1:63">
      <c r="A662">
        <v>3743</v>
      </c>
      <c r="B662" t="s">
        <v>3699</v>
      </c>
      <c r="D662" t="s">
        <v>66</v>
      </c>
      <c r="E662">
        <v>3785406</v>
      </c>
      <c r="F662">
        <v>3785948</v>
      </c>
      <c r="G662" t="s">
        <v>3701</v>
      </c>
      <c r="H662">
        <v>181</v>
      </c>
      <c r="I662" t="s">
        <v>63</v>
      </c>
      <c r="J662">
        <v>5</v>
      </c>
      <c r="K662" t="str">
        <f>HYPERLINK("Gene3743-zp_tree_all.dnd", "Gene3743-tree")</f>
        <v>Gene3743-tree</v>
      </c>
      <c r="L662">
        <v>1</v>
      </c>
      <c r="M662">
        <v>4</v>
      </c>
      <c r="N662">
        <v>1</v>
      </c>
      <c r="O662">
        <v>4</v>
      </c>
      <c r="P662">
        <v>0.8</v>
      </c>
      <c r="Q662" t="s">
        <v>65</v>
      </c>
      <c r="R662" t="s">
        <v>64</v>
      </c>
      <c r="S662" t="s">
        <v>66</v>
      </c>
      <c r="T662" t="s">
        <v>66</v>
      </c>
      <c r="U662">
        <v>0</v>
      </c>
      <c r="V662">
        <v>0</v>
      </c>
      <c r="W662">
        <v>10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10</v>
      </c>
      <c r="AH662">
        <v>0</v>
      </c>
      <c r="AI662">
        <v>5</v>
      </c>
      <c r="AJ662">
        <v>2</v>
      </c>
      <c r="AK662">
        <v>14</v>
      </c>
      <c r="AL662">
        <v>6</v>
      </c>
      <c r="AM662">
        <v>10</v>
      </c>
      <c r="AN662">
        <v>4</v>
      </c>
      <c r="AO662" t="s">
        <v>3702</v>
      </c>
      <c r="AP662" t="s">
        <v>3703</v>
      </c>
      <c r="AQ662">
        <v>8.1000000000000003E-2</v>
      </c>
      <c r="AR662" t="s">
        <v>69</v>
      </c>
      <c r="AS662">
        <v>24</v>
      </c>
      <c r="AT662">
        <v>10</v>
      </c>
      <c r="AU662">
        <v>3.0020000000000002E-2</v>
      </c>
      <c r="AV662">
        <v>-3.8300000000000001E-3</v>
      </c>
      <c r="AW662">
        <v>9.6369999999999997E-2</v>
      </c>
      <c r="AX662">
        <v>-1.2789999999999999E-2</v>
      </c>
      <c r="AY662">
        <v>1.1690000000000001E-2</v>
      </c>
      <c r="AZ662">
        <v>-1.73E-3</v>
      </c>
      <c r="BA662">
        <v>0.12132</v>
      </c>
      <c r="BB662">
        <v>1</v>
      </c>
      <c r="BC662" t="s">
        <v>70</v>
      </c>
      <c r="BD662">
        <v>0.218</v>
      </c>
      <c r="BE662">
        <v>-1.9E-2</v>
      </c>
      <c r="BF662" t="s">
        <v>71</v>
      </c>
      <c r="BG662">
        <v>8.8607594936708806E-2</v>
      </c>
      <c r="BI662">
        <v>34</v>
      </c>
      <c r="BJ662">
        <v>0.12132</v>
      </c>
      <c r="BK662">
        <v>8.8607594936708806E-2</v>
      </c>
    </row>
    <row r="663" spans="1:63">
      <c r="A663">
        <v>3744</v>
      </c>
      <c r="B663" t="s">
        <v>3704</v>
      </c>
      <c r="D663" t="s">
        <v>66</v>
      </c>
      <c r="E663">
        <v>3785948</v>
      </c>
      <c r="F663">
        <v>3786457</v>
      </c>
      <c r="G663" t="s">
        <v>3706</v>
      </c>
      <c r="H663">
        <v>170</v>
      </c>
      <c r="I663" t="s">
        <v>63</v>
      </c>
      <c r="J663">
        <v>5</v>
      </c>
      <c r="K663" t="str">
        <f>HYPERLINK("Gene3744-zp_tree_all.dnd", "Gene3744-tree")</f>
        <v>Gene3744-tree</v>
      </c>
      <c r="L663">
        <v>3</v>
      </c>
      <c r="M663">
        <v>2</v>
      </c>
      <c r="N663">
        <v>3</v>
      </c>
      <c r="O663">
        <v>2</v>
      </c>
      <c r="P663">
        <v>0.4</v>
      </c>
      <c r="Q663" t="s">
        <v>86</v>
      </c>
      <c r="R663" t="s">
        <v>124</v>
      </c>
      <c r="S663" t="s">
        <v>66</v>
      </c>
      <c r="T663" t="s">
        <v>66</v>
      </c>
      <c r="U663">
        <v>0</v>
      </c>
      <c r="V663">
        <v>0</v>
      </c>
      <c r="W663">
        <v>2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2</v>
      </c>
      <c r="AH663">
        <v>0</v>
      </c>
      <c r="AI663">
        <v>2</v>
      </c>
      <c r="AJ663">
        <v>2</v>
      </c>
      <c r="AK663">
        <v>2</v>
      </c>
      <c r="AL663">
        <v>1</v>
      </c>
      <c r="AM663">
        <v>1</v>
      </c>
      <c r="AN663">
        <v>1</v>
      </c>
      <c r="AO663" t="s">
        <v>3707</v>
      </c>
      <c r="AP663" t="s">
        <v>3708</v>
      </c>
      <c r="AQ663">
        <v>0.34300000000000003</v>
      </c>
      <c r="AR663" t="s">
        <v>69</v>
      </c>
      <c r="AS663">
        <v>3</v>
      </c>
      <c r="AT663">
        <v>2</v>
      </c>
      <c r="AU663">
        <v>4.7099999999999998E-3</v>
      </c>
      <c r="AV663">
        <v>-7.9000000000000001E-4</v>
      </c>
      <c r="AW663">
        <v>1.2500000000000001E-2</v>
      </c>
      <c r="AX663">
        <v>-2.2699999999999999E-3</v>
      </c>
      <c r="AY663">
        <v>2.5300000000000001E-3</v>
      </c>
      <c r="AZ663">
        <v>-6.2E-4</v>
      </c>
      <c r="BA663">
        <v>0.20222999999999999</v>
      </c>
      <c r="BB663">
        <v>0.94499999999999995</v>
      </c>
      <c r="BC663" t="s">
        <v>188</v>
      </c>
      <c r="BD663">
        <v>0</v>
      </c>
      <c r="BE663">
        <v>0</v>
      </c>
      <c r="BF663" t="s">
        <v>71</v>
      </c>
      <c r="BG663">
        <v>0.146788990825688</v>
      </c>
      <c r="BI663">
        <v>5</v>
      </c>
      <c r="BJ663">
        <v>0.20222999999999999</v>
      </c>
      <c r="BK663">
        <v>0.146788990825688</v>
      </c>
    </row>
    <row r="664" spans="1:63">
      <c r="A664">
        <v>3746</v>
      </c>
      <c r="B664" t="s">
        <v>3712</v>
      </c>
      <c r="D664" t="s">
        <v>66</v>
      </c>
      <c r="E664">
        <v>3786881</v>
      </c>
      <c r="F664">
        <v>3787612</v>
      </c>
      <c r="G664" t="s">
        <v>3714</v>
      </c>
      <c r="H664">
        <v>244</v>
      </c>
      <c r="I664" t="s">
        <v>63</v>
      </c>
      <c r="J664">
        <v>5</v>
      </c>
      <c r="K664" t="str">
        <f>HYPERLINK("Gene3746-zp_tree_all.dnd", "Gene3746-tree")</f>
        <v>Gene3746-tree</v>
      </c>
      <c r="L664">
        <v>5</v>
      </c>
      <c r="M664">
        <v>0</v>
      </c>
      <c r="N664">
        <v>4</v>
      </c>
      <c r="O664">
        <v>0</v>
      </c>
      <c r="P664">
        <v>0</v>
      </c>
      <c r="Q664" t="s">
        <v>135</v>
      </c>
      <c r="R664" t="s">
        <v>66</v>
      </c>
      <c r="S664" t="s">
        <v>66</v>
      </c>
      <c r="T664" t="s">
        <v>66</v>
      </c>
      <c r="U664">
        <v>0</v>
      </c>
      <c r="V664">
        <v>0</v>
      </c>
      <c r="W664">
        <v>2</v>
      </c>
      <c r="X664">
        <v>0</v>
      </c>
      <c r="Y664">
        <v>0</v>
      </c>
      <c r="Z664">
        <v>0</v>
      </c>
      <c r="AA664">
        <v>0</v>
      </c>
      <c r="AB664">
        <v>2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3</v>
      </c>
      <c r="AJ664">
        <v>1</v>
      </c>
      <c r="AK664">
        <v>5</v>
      </c>
      <c r="AL664">
        <v>0</v>
      </c>
      <c r="AM664">
        <v>20</v>
      </c>
      <c r="AN664">
        <v>2</v>
      </c>
      <c r="AO664" t="s">
        <v>68</v>
      </c>
      <c r="AP664" t="s">
        <v>3715</v>
      </c>
      <c r="AQ664">
        <v>0</v>
      </c>
      <c r="AR664" t="s">
        <v>69</v>
      </c>
      <c r="AS664">
        <v>25</v>
      </c>
      <c r="AT664">
        <v>2</v>
      </c>
      <c r="AU664">
        <v>2.3550000000000001E-2</v>
      </c>
      <c r="AV664">
        <v>-5.8500000000000002E-3</v>
      </c>
      <c r="AW664">
        <v>9.7809999999999994E-2</v>
      </c>
      <c r="AX664">
        <v>-2.4320000000000001E-2</v>
      </c>
      <c r="AY664">
        <v>2.4199999999999998E-3</v>
      </c>
      <c r="AZ664">
        <v>-5.6999999999999998E-4</v>
      </c>
      <c r="BA664">
        <v>2.4750000000000001E-2</v>
      </c>
      <c r="BB664">
        <v>1</v>
      </c>
      <c r="BC664" t="s">
        <v>70</v>
      </c>
      <c r="BD664">
        <v>1.4039999999999999</v>
      </c>
      <c r="BE664">
        <v>1.4039999999999999</v>
      </c>
      <c r="BF664" t="s">
        <v>71</v>
      </c>
      <c r="BG664">
        <v>5.9936908517350097E-2</v>
      </c>
      <c r="BI664">
        <v>27</v>
      </c>
      <c r="BJ664">
        <v>2.4750000000000001E-2</v>
      </c>
      <c r="BK664">
        <v>5.9936908517350097E-2</v>
      </c>
    </row>
    <row r="665" spans="1:63">
      <c r="A665">
        <v>3747</v>
      </c>
      <c r="B665" t="s">
        <v>3716</v>
      </c>
      <c r="D665" t="s">
        <v>66</v>
      </c>
      <c r="E665">
        <v>3787623</v>
      </c>
      <c r="F665">
        <v>3788003</v>
      </c>
      <c r="G665" t="s">
        <v>3718</v>
      </c>
      <c r="H665">
        <v>127</v>
      </c>
      <c r="I665" t="s">
        <v>63</v>
      </c>
      <c r="J665">
        <v>5</v>
      </c>
      <c r="K665" t="str">
        <f>HYPERLINK("Gene3747-zp_tree_all.dnd", "Gene3747-tree")</f>
        <v>Gene3747-tree</v>
      </c>
      <c r="L665">
        <v>3</v>
      </c>
      <c r="M665">
        <v>2</v>
      </c>
      <c r="N665">
        <v>3</v>
      </c>
      <c r="O665">
        <v>2</v>
      </c>
      <c r="P665">
        <v>0.4</v>
      </c>
      <c r="Q665" t="s">
        <v>86</v>
      </c>
      <c r="R665" t="s">
        <v>124</v>
      </c>
      <c r="S665" t="s">
        <v>66</v>
      </c>
      <c r="T665" t="s">
        <v>66</v>
      </c>
      <c r="U665">
        <v>0</v>
      </c>
      <c r="V665">
        <v>0</v>
      </c>
      <c r="W665">
        <v>2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2</v>
      </c>
      <c r="AH665">
        <v>0</v>
      </c>
      <c r="AI665">
        <v>2</v>
      </c>
      <c r="AJ665">
        <v>2</v>
      </c>
      <c r="AK665">
        <v>3</v>
      </c>
      <c r="AL665">
        <v>1</v>
      </c>
      <c r="AM665">
        <v>9</v>
      </c>
      <c r="AN665">
        <v>1</v>
      </c>
      <c r="AO665" t="s">
        <v>3719</v>
      </c>
      <c r="AP665" t="s">
        <v>3720</v>
      </c>
      <c r="AQ665">
        <v>0.80400000000000005</v>
      </c>
      <c r="AR665" t="s">
        <v>69</v>
      </c>
      <c r="AS665">
        <v>12</v>
      </c>
      <c r="AT665">
        <v>2</v>
      </c>
      <c r="AU665">
        <v>1.9949999999999999E-2</v>
      </c>
      <c r="AV665">
        <v>-3.8600000000000001E-3</v>
      </c>
      <c r="AW665">
        <v>7.9079999999999998E-2</v>
      </c>
      <c r="AX665">
        <v>-1.5509999999999999E-2</v>
      </c>
      <c r="AY665">
        <v>3.4499999999999999E-3</v>
      </c>
      <c r="AZ665">
        <v>-8.4000000000000003E-4</v>
      </c>
      <c r="BA665">
        <v>4.3560000000000001E-2</v>
      </c>
      <c r="BB665">
        <v>1</v>
      </c>
      <c r="BC665" t="s">
        <v>70</v>
      </c>
      <c r="BD665">
        <v>0.95399999999999996</v>
      </c>
      <c r="BE665">
        <v>0.95399999999999996</v>
      </c>
      <c r="BF665" t="s">
        <v>71</v>
      </c>
      <c r="BG665">
        <v>0.12582781456953601</v>
      </c>
      <c r="BI665">
        <v>14</v>
      </c>
      <c r="BJ665">
        <v>4.3560000000000001E-2</v>
      </c>
      <c r="BK665">
        <v>0.12582781456953601</v>
      </c>
    </row>
    <row r="666" spans="1:63">
      <c r="A666">
        <v>3749</v>
      </c>
      <c r="B666" t="s">
        <v>3721</v>
      </c>
      <c r="D666" t="s">
        <v>66</v>
      </c>
      <c r="E666">
        <v>3789193</v>
      </c>
      <c r="F666">
        <v>3790437</v>
      </c>
      <c r="G666" t="s">
        <v>3723</v>
      </c>
      <c r="H666">
        <v>415</v>
      </c>
      <c r="I666" t="s">
        <v>63</v>
      </c>
      <c r="J666">
        <v>5</v>
      </c>
      <c r="K666" t="str">
        <f>HYPERLINK("Gene3749-zp_tree_all.dnd", "Gene3749-tree")</f>
        <v>Gene3749-tree</v>
      </c>
      <c r="L666">
        <v>1</v>
      </c>
      <c r="M666">
        <v>4</v>
      </c>
      <c r="N666">
        <v>1</v>
      </c>
      <c r="O666">
        <v>4</v>
      </c>
      <c r="P666">
        <v>0.8</v>
      </c>
      <c r="Q666" t="s">
        <v>65</v>
      </c>
      <c r="R666" t="s">
        <v>64</v>
      </c>
      <c r="S666" t="s">
        <v>66</v>
      </c>
      <c r="T666" t="s">
        <v>66</v>
      </c>
      <c r="U666">
        <v>0</v>
      </c>
      <c r="V666">
        <v>0</v>
      </c>
      <c r="W666">
        <v>7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7</v>
      </c>
      <c r="AH666">
        <v>0</v>
      </c>
      <c r="AI666">
        <v>5</v>
      </c>
      <c r="AJ666">
        <v>2</v>
      </c>
      <c r="AK666">
        <v>32</v>
      </c>
      <c r="AL666">
        <v>5</v>
      </c>
      <c r="AM666">
        <v>36</v>
      </c>
      <c r="AN666">
        <v>2</v>
      </c>
      <c r="AO666" t="s">
        <v>3724</v>
      </c>
      <c r="AP666" t="s">
        <v>3725</v>
      </c>
      <c r="AQ666">
        <v>1.4930000000000001</v>
      </c>
      <c r="AR666" t="s">
        <v>69</v>
      </c>
      <c r="AS666">
        <v>68</v>
      </c>
      <c r="AT666">
        <v>7</v>
      </c>
      <c r="AU666">
        <v>2.963E-2</v>
      </c>
      <c r="AV666">
        <v>-4.9899999999999996E-3</v>
      </c>
      <c r="AW666">
        <v>0.12903999999999999</v>
      </c>
      <c r="AX666">
        <v>-2.3560000000000001E-2</v>
      </c>
      <c r="AY666">
        <v>3.3700000000000002E-3</v>
      </c>
      <c r="AZ666">
        <v>-3.6000000000000002E-4</v>
      </c>
      <c r="BA666">
        <v>2.615E-2</v>
      </c>
      <c r="BB666">
        <v>1</v>
      </c>
      <c r="BC666" t="s">
        <v>70</v>
      </c>
      <c r="BD666">
        <v>0.49099999999999999</v>
      </c>
      <c r="BE666">
        <v>0.184</v>
      </c>
      <c r="BF666" t="s">
        <v>71</v>
      </c>
      <c r="BG666">
        <v>3.6777583187390502E-2</v>
      </c>
      <c r="BI666">
        <v>75</v>
      </c>
      <c r="BJ666">
        <v>2.615E-2</v>
      </c>
      <c r="BK666">
        <v>3.6777583187390502E-2</v>
      </c>
    </row>
    <row r="667" spans="1:63">
      <c r="A667">
        <v>3752</v>
      </c>
      <c r="B667" t="s">
        <v>3726</v>
      </c>
      <c r="D667" t="s">
        <v>66</v>
      </c>
      <c r="E667">
        <v>3791808</v>
      </c>
      <c r="F667">
        <v>3792257</v>
      </c>
      <c r="G667" t="s">
        <v>3728</v>
      </c>
      <c r="H667">
        <v>150</v>
      </c>
      <c r="I667" t="s">
        <v>85</v>
      </c>
      <c r="J667">
        <v>4</v>
      </c>
      <c r="K667" t="str">
        <f>HYPERLINK("Gene3752-zp_tree_all.dnd", "Gene3752-tree")</f>
        <v>Gene3752-tree</v>
      </c>
      <c r="L667">
        <v>1</v>
      </c>
      <c r="M667">
        <v>3</v>
      </c>
      <c r="N667">
        <v>1</v>
      </c>
      <c r="O667">
        <v>3</v>
      </c>
      <c r="P667">
        <v>0.75</v>
      </c>
      <c r="Q667" t="s">
        <v>65</v>
      </c>
      <c r="R667" t="s">
        <v>86</v>
      </c>
      <c r="S667" t="s">
        <v>66</v>
      </c>
      <c r="T667" t="s">
        <v>66</v>
      </c>
      <c r="U667">
        <v>2</v>
      </c>
      <c r="V667">
        <v>4</v>
      </c>
      <c r="W667">
        <v>9</v>
      </c>
      <c r="X667">
        <v>0.30769000000000002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2</v>
      </c>
      <c r="AE667">
        <v>2</v>
      </c>
      <c r="AF667">
        <v>4</v>
      </c>
      <c r="AG667">
        <v>9</v>
      </c>
      <c r="AH667">
        <v>0.30769000000000002</v>
      </c>
      <c r="AI667">
        <v>4</v>
      </c>
      <c r="AJ667">
        <v>1</v>
      </c>
      <c r="AK667">
        <v>11</v>
      </c>
      <c r="AL667">
        <v>13</v>
      </c>
      <c r="AM667">
        <v>2</v>
      </c>
      <c r="AN667">
        <v>0</v>
      </c>
      <c r="AO667" t="s">
        <v>3729</v>
      </c>
      <c r="AP667" t="s">
        <v>68</v>
      </c>
      <c r="AQ667">
        <v>0.93400000000000005</v>
      </c>
      <c r="AR667" t="s">
        <v>69</v>
      </c>
      <c r="AS667">
        <v>13</v>
      </c>
      <c r="AT667">
        <v>13</v>
      </c>
      <c r="AU667">
        <v>2.7959999999999999E-2</v>
      </c>
      <c r="AV667">
        <v>-6.62E-3</v>
      </c>
      <c r="AW667">
        <v>6.7129999999999995E-2</v>
      </c>
      <c r="AX667">
        <v>-1.5310000000000001E-2</v>
      </c>
      <c r="AY667">
        <v>1.772E-2</v>
      </c>
      <c r="AZ667">
        <v>-4.9500000000000004E-3</v>
      </c>
      <c r="BA667">
        <v>0.26401000000000002</v>
      </c>
      <c r="BB667">
        <v>0.99</v>
      </c>
      <c r="BC667" t="s">
        <v>70</v>
      </c>
      <c r="BD667">
        <v>-3.6999999999999998E-2</v>
      </c>
      <c r="BE667">
        <v>-0.85699999999999998</v>
      </c>
      <c r="BF667" t="s">
        <v>71</v>
      </c>
      <c r="BG667">
        <v>6.3414634146341395E-2</v>
      </c>
      <c r="BI667">
        <v>26</v>
      </c>
      <c r="BJ667">
        <v>0.26401000000000002</v>
      </c>
      <c r="BK667">
        <v>6.3414634146341395E-2</v>
      </c>
    </row>
    <row r="668" spans="1:63">
      <c r="A668">
        <v>3760</v>
      </c>
      <c r="B668" t="s">
        <v>3730</v>
      </c>
      <c r="D668" t="s">
        <v>66</v>
      </c>
      <c r="E668">
        <v>3797088</v>
      </c>
      <c r="F668">
        <v>3798155</v>
      </c>
      <c r="G668" t="s">
        <v>3732</v>
      </c>
      <c r="H668">
        <v>356</v>
      </c>
      <c r="I668" t="s">
        <v>63</v>
      </c>
      <c r="J668">
        <v>5</v>
      </c>
      <c r="K668" t="str">
        <f>HYPERLINK("Gene3760-zp_tree_all.dnd", "Gene3760-tree")</f>
        <v>Gene3760-tree</v>
      </c>
      <c r="L668">
        <v>4</v>
      </c>
      <c r="M668">
        <v>1</v>
      </c>
      <c r="N668">
        <v>4</v>
      </c>
      <c r="O668">
        <v>1</v>
      </c>
      <c r="P668">
        <v>0.2</v>
      </c>
      <c r="Q668" t="s">
        <v>64</v>
      </c>
      <c r="R668" t="s">
        <v>65</v>
      </c>
      <c r="S668" t="s">
        <v>66</v>
      </c>
      <c r="T668" t="s">
        <v>66</v>
      </c>
      <c r="U668">
        <v>0</v>
      </c>
      <c r="V668">
        <v>0</v>
      </c>
      <c r="W668">
        <v>2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2</v>
      </c>
      <c r="AH668">
        <v>0</v>
      </c>
      <c r="AI668">
        <v>5</v>
      </c>
      <c r="AJ668">
        <v>2</v>
      </c>
      <c r="AK668">
        <v>25</v>
      </c>
      <c r="AL668">
        <v>2</v>
      </c>
      <c r="AM668">
        <v>29</v>
      </c>
      <c r="AN668">
        <v>0</v>
      </c>
      <c r="AO668" t="s">
        <v>3733</v>
      </c>
      <c r="AP668" t="s">
        <v>68</v>
      </c>
      <c r="AQ668">
        <v>0.52100000000000002</v>
      </c>
      <c r="AR668" t="s">
        <v>69</v>
      </c>
      <c r="AS668">
        <v>54</v>
      </c>
      <c r="AT668">
        <v>2</v>
      </c>
      <c r="AU668">
        <v>2.5559999999999999E-2</v>
      </c>
      <c r="AV668">
        <v>-4.1599999999999996E-3</v>
      </c>
      <c r="AW668">
        <v>0.11971999999999999</v>
      </c>
      <c r="AX668">
        <v>-2.0320000000000001E-2</v>
      </c>
      <c r="AY668">
        <v>9.7000000000000005E-4</v>
      </c>
      <c r="AZ668">
        <v>-3.8000000000000002E-4</v>
      </c>
      <c r="BA668">
        <v>8.1300000000000001E-3</v>
      </c>
      <c r="BB668">
        <v>1</v>
      </c>
      <c r="BC668" t="s">
        <v>70</v>
      </c>
      <c r="BD668">
        <v>0.55200000000000005</v>
      </c>
      <c r="BE668">
        <v>0.40400000000000003</v>
      </c>
      <c r="BF668" t="s">
        <v>71</v>
      </c>
      <c r="BG668">
        <v>0.12676056338028099</v>
      </c>
      <c r="BI668">
        <v>56</v>
      </c>
      <c r="BJ668">
        <v>8.1300000000000001E-3</v>
      </c>
      <c r="BK668">
        <v>0.12676056338028099</v>
      </c>
    </row>
    <row r="669" spans="1:63">
      <c r="A669">
        <v>3764</v>
      </c>
      <c r="B669" t="s">
        <v>3734</v>
      </c>
      <c r="D669" t="s">
        <v>66</v>
      </c>
      <c r="E669">
        <v>3800421</v>
      </c>
      <c r="F669">
        <v>3802166</v>
      </c>
      <c r="G669" t="s">
        <v>3736</v>
      </c>
      <c r="H669">
        <v>582</v>
      </c>
      <c r="I669" t="s">
        <v>63</v>
      </c>
      <c r="J669">
        <v>5</v>
      </c>
      <c r="K669" t="str">
        <f>HYPERLINK("Gene3764-zp_tree_all.dnd", "Gene3764-tree")</f>
        <v>Gene3764-tree</v>
      </c>
      <c r="L669">
        <v>1</v>
      </c>
      <c r="M669">
        <v>4</v>
      </c>
      <c r="N669">
        <v>1</v>
      </c>
      <c r="O669">
        <v>4</v>
      </c>
      <c r="P669">
        <v>0.8</v>
      </c>
      <c r="Q669" t="s">
        <v>65</v>
      </c>
      <c r="R669" t="s">
        <v>64</v>
      </c>
      <c r="S669" t="s">
        <v>66</v>
      </c>
      <c r="T669" t="s">
        <v>66</v>
      </c>
      <c r="U669">
        <v>1</v>
      </c>
      <c r="V669">
        <v>2</v>
      </c>
      <c r="W669">
        <v>9</v>
      </c>
      <c r="X669">
        <v>0.18182000000000001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2</v>
      </c>
      <c r="AF669">
        <v>2</v>
      </c>
      <c r="AG669">
        <v>9</v>
      </c>
      <c r="AH669">
        <v>0.18182000000000001</v>
      </c>
      <c r="AI669">
        <v>5</v>
      </c>
      <c r="AJ669">
        <v>2</v>
      </c>
      <c r="AK669">
        <v>38</v>
      </c>
      <c r="AL669">
        <v>5</v>
      </c>
      <c r="AM669">
        <v>51</v>
      </c>
      <c r="AN669">
        <v>6</v>
      </c>
      <c r="AO669" t="s">
        <v>3737</v>
      </c>
      <c r="AP669" t="s">
        <v>3738</v>
      </c>
      <c r="AQ669">
        <v>0.14899999999999999</v>
      </c>
      <c r="AR669" t="s">
        <v>69</v>
      </c>
      <c r="AS669">
        <v>89</v>
      </c>
      <c r="AT669">
        <v>11</v>
      </c>
      <c r="AU669">
        <v>2.8289999999999999E-2</v>
      </c>
      <c r="AV669">
        <v>-4.9199999999999999E-3</v>
      </c>
      <c r="AW669">
        <v>0.11917</v>
      </c>
      <c r="AX669">
        <v>-2.147E-2</v>
      </c>
      <c r="AY669">
        <v>3.98E-3</v>
      </c>
      <c r="AZ669">
        <v>-7.2999999999999996E-4</v>
      </c>
      <c r="BA669">
        <v>3.3430000000000001E-2</v>
      </c>
      <c r="BB669">
        <v>1</v>
      </c>
      <c r="BC669" t="s">
        <v>70</v>
      </c>
      <c r="BD669">
        <v>0.81</v>
      </c>
      <c r="BE669">
        <v>0.504</v>
      </c>
      <c r="BF669" t="s">
        <v>71</v>
      </c>
      <c r="BG669">
        <v>3.6241610738254999E-2</v>
      </c>
      <c r="BI669">
        <v>100</v>
      </c>
      <c r="BJ669">
        <v>3.3430000000000001E-2</v>
      </c>
      <c r="BK669">
        <v>3.6241610738254999E-2</v>
      </c>
    </row>
    <row r="670" spans="1:63">
      <c r="A670">
        <v>3767</v>
      </c>
      <c r="B670" t="s">
        <v>3742</v>
      </c>
      <c r="D670" t="s">
        <v>66</v>
      </c>
      <c r="E670">
        <v>3803403</v>
      </c>
      <c r="F670">
        <v>3804683</v>
      </c>
      <c r="G670" t="s">
        <v>3744</v>
      </c>
      <c r="H670">
        <v>427</v>
      </c>
      <c r="I670" t="s">
        <v>63</v>
      </c>
      <c r="J670">
        <v>5</v>
      </c>
      <c r="K670" t="str">
        <f>HYPERLINK("Gene3767-zp_tree_all.dnd", "Gene3767-tree")</f>
        <v>Gene3767-tree</v>
      </c>
      <c r="L670">
        <v>5</v>
      </c>
      <c r="M670">
        <v>0</v>
      </c>
      <c r="N670">
        <v>5</v>
      </c>
      <c r="O670">
        <v>0</v>
      </c>
      <c r="P670">
        <v>0</v>
      </c>
      <c r="Q670" t="s">
        <v>96</v>
      </c>
      <c r="R670" t="s">
        <v>66</v>
      </c>
      <c r="S670" t="s">
        <v>66</v>
      </c>
      <c r="T670" t="s">
        <v>66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5</v>
      </c>
      <c r="AJ670">
        <v>2</v>
      </c>
      <c r="AK670">
        <v>33</v>
      </c>
      <c r="AL670">
        <v>0</v>
      </c>
      <c r="AM670">
        <v>43</v>
      </c>
      <c r="AN670">
        <v>0</v>
      </c>
      <c r="AO670" t="s">
        <v>68</v>
      </c>
      <c r="AP670" t="s">
        <v>68</v>
      </c>
      <c r="AQ670">
        <v>0</v>
      </c>
      <c r="AR670" t="s">
        <v>69</v>
      </c>
      <c r="AS670">
        <v>76</v>
      </c>
      <c r="AT670">
        <v>0</v>
      </c>
      <c r="AU670">
        <v>2.9260000000000001E-2</v>
      </c>
      <c r="AV670">
        <v>-5.4799999999999996E-3</v>
      </c>
      <c r="AW670">
        <v>0.14455999999999999</v>
      </c>
      <c r="AX670">
        <v>-2.8070000000000001E-2</v>
      </c>
      <c r="AY670">
        <v>0</v>
      </c>
      <c r="AZ670">
        <v>0</v>
      </c>
      <c r="BA670">
        <v>0</v>
      </c>
      <c r="BB670">
        <v>1</v>
      </c>
      <c r="BC670" t="s">
        <v>70</v>
      </c>
      <c r="BD670">
        <v>0.97899999999999998</v>
      </c>
      <c r="BE670">
        <v>0.52200000000000002</v>
      </c>
      <c r="BF670" t="s">
        <v>71</v>
      </c>
      <c r="BG670">
        <v>2.3411371237458099E-2</v>
      </c>
      <c r="BI670">
        <v>76</v>
      </c>
      <c r="BJ670">
        <v>0</v>
      </c>
      <c r="BK670">
        <v>2.3411371237458099E-2</v>
      </c>
    </row>
    <row r="671" spans="1:63">
      <c r="A671">
        <v>3768</v>
      </c>
      <c r="B671" t="s">
        <v>3745</v>
      </c>
      <c r="D671" t="s">
        <v>66</v>
      </c>
      <c r="E671">
        <v>3805093</v>
      </c>
      <c r="F671">
        <v>3806055</v>
      </c>
      <c r="G671" t="s">
        <v>3747</v>
      </c>
      <c r="H671">
        <v>321</v>
      </c>
      <c r="I671" t="s">
        <v>85</v>
      </c>
      <c r="J671">
        <v>4</v>
      </c>
      <c r="K671" t="str">
        <f>HYPERLINK("Gene3768-zp_tree_all.dnd", "Gene3768-tree")</f>
        <v>Gene3768-tree</v>
      </c>
      <c r="L671">
        <v>4</v>
      </c>
      <c r="M671">
        <v>0</v>
      </c>
      <c r="N671">
        <v>4</v>
      </c>
      <c r="O671">
        <v>0</v>
      </c>
      <c r="P671">
        <v>0</v>
      </c>
      <c r="Q671" t="s">
        <v>64</v>
      </c>
      <c r="R671" t="s">
        <v>66</v>
      </c>
      <c r="S671" t="s">
        <v>66</v>
      </c>
      <c r="T671" t="s">
        <v>66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4</v>
      </c>
      <c r="AJ671">
        <v>1</v>
      </c>
      <c r="AK671">
        <v>48</v>
      </c>
      <c r="AL671">
        <v>0</v>
      </c>
      <c r="AM671">
        <v>3</v>
      </c>
      <c r="AN671">
        <v>0</v>
      </c>
      <c r="AO671" t="s">
        <v>68</v>
      </c>
      <c r="AP671" t="s">
        <v>68</v>
      </c>
      <c r="AQ671">
        <v>0</v>
      </c>
      <c r="AR671" t="s">
        <v>69</v>
      </c>
      <c r="AS671">
        <v>51</v>
      </c>
      <c r="AT671">
        <v>0</v>
      </c>
      <c r="AU671">
        <v>2.665E-2</v>
      </c>
      <c r="AV671">
        <v>-7.8300000000000002E-3</v>
      </c>
      <c r="AW671">
        <v>0.12684000000000001</v>
      </c>
      <c r="AX671">
        <v>-3.866E-2</v>
      </c>
      <c r="AY671">
        <v>0</v>
      </c>
      <c r="AZ671">
        <v>0</v>
      </c>
      <c r="BA671">
        <v>0</v>
      </c>
      <c r="BB671">
        <v>1</v>
      </c>
      <c r="BC671" t="s">
        <v>70</v>
      </c>
      <c r="BD671">
        <v>-0.61299999999999999</v>
      </c>
      <c r="BE671">
        <v>-0.61299999999999999</v>
      </c>
      <c r="BF671" t="s">
        <v>71</v>
      </c>
      <c r="BG671">
        <v>0.13457556935817799</v>
      </c>
      <c r="BI671">
        <v>51</v>
      </c>
      <c r="BJ671">
        <v>0</v>
      </c>
      <c r="BK671">
        <v>0.13457556935817799</v>
      </c>
    </row>
    <row r="672" spans="1:63">
      <c r="A672">
        <v>3769</v>
      </c>
      <c r="B672" t="s">
        <v>3748</v>
      </c>
      <c r="D672" t="s">
        <v>66</v>
      </c>
      <c r="E672">
        <v>3806089</v>
      </c>
      <c r="F672">
        <v>3807375</v>
      </c>
      <c r="G672" t="s">
        <v>3750</v>
      </c>
      <c r="H672">
        <v>429</v>
      </c>
      <c r="I672" t="s">
        <v>63</v>
      </c>
      <c r="J672">
        <v>5</v>
      </c>
      <c r="K672" t="str">
        <f>HYPERLINK("Gene3769-zp_tree_all.dnd", "Gene3769-tree")</f>
        <v>Gene3769-tree</v>
      </c>
      <c r="L672">
        <v>4</v>
      </c>
      <c r="M672">
        <v>1</v>
      </c>
      <c r="N672">
        <v>4</v>
      </c>
      <c r="O672">
        <v>1</v>
      </c>
      <c r="P672">
        <v>0.2</v>
      </c>
      <c r="Q672" t="s">
        <v>64</v>
      </c>
      <c r="R672" t="s">
        <v>65</v>
      </c>
      <c r="S672" t="s">
        <v>66</v>
      </c>
      <c r="T672" t="s">
        <v>66</v>
      </c>
      <c r="U672">
        <v>0</v>
      </c>
      <c r="V672">
        <v>0</v>
      </c>
      <c r="W672">
        <v>2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1</v>
      </c>
      <c r="AH672">
        <v>0</v>
      </c>
      <c r="AI672">
        <v>5</v>
      </c>
      <c r="AJ672">
        <v>2</v>
      </c>
      <c r="AK672">
        <v>40</v>
      </c>
      <c r="AL672">
        <v>1</v>
      </c>
      <c r="AM672">
        <v>44</v>
      </c>
      <c r="AN672">
        <v>1</v>
      </c>
      <c r="AO672" t="s">
        <v>3751</v>
      </c>
      <c r="AP672" t="s">
        <v>3752</v>
      </c>
      <c r="AQ672">
        <v>7.1999999999999995E-2</v>
      </c>
      <c r="AR672" t="s">
        <v>69</v>
      </c>
      <c r="AS672">
        <v>84</v>
      </c>
      <c r="AT672">
        <v>2</v>
      </c>
      <c r="AU672">
        <v>3.2710000000000003E-2</v>
      </c>
      <c r="AV672">
        <v>-5.3499999999999997E-3</v>
      </c>
      <c r="AW672">
        <v>0.15157999999999999</v>
      </c>
      <c r="AX672">
        <v>-2.581E-2</v>
      </c>
      <c r="AY672">
        <v>1.33E-3</v>
      </c>
      <c r="AZ672">
        <v>-3.8000000000000002E-4</v>
      </c>
      <c r="BA672">
        <v>8.7500000000000008E-3</v>
      </c>
      <c r="BB672">
        <v>1</v>
      </c>
      <c r="BC672" t="s">
        <v>70</v>
      </c>
      <c r="BD672">
        <v>0.73099999999999998</v>
      </c>
      <c r="BE672">
        <v>0.35599999999999998</v>
      </c>
      <c r="BF672" t="s">
        <v>71</v>
      </c>
      <c r="BG672">
        <v>0.134466769706336</v>
      </c>
      <c r="BI672">
        <v>86</v>
      </c>
      <c r="BJ672">
        <v>8.7500000000000008E-3</v>
      </c>
      <c r="BK672">
        <v>0.134466769706336</v>
      </c>
    </row>
    <row r="673" spans="1:63">
      <c r="A673">
        <v>3770</v>
      </c>
      <c r="B673" t="s">
        <v>3753</v>
      </c>
      <c r="D673" t="s">
        <v>66</v>
      </c>
      <c r="E673">
        <v>3807757</v>
      </c>
      <c r="F673">
        <v>3808392</v>
      </c>
      <c r="G673" t="s">
        <v>3755</v>
      </c>
      <c r="H673">
        <v>212</v>
      </c>
      <c r="I673" t="s">
        <v>63</v>
      </c>
      <c r="J673">
        <v>5</v>
      </c>
      <c r="K673" t="str">
        <f>HYPERLINK("Gene3770-zp_tree_all.dnd", "Gene3770-tree")</f>
        <v>Gene3770-tree</v>
      </c>
      <c r="L673">
        <v>4</v>
      </c>
      <c r="M673">
        <v>1</v>
      </c>
      <c r="N673">
        <v>4</v>
      </c>
      <c r="O673">
        <v>1</v>
      </c>
      <c r="P673">
        <v>0.2</v>
      </c>
      <c r="Q673" t="s">
        <v>64</v>
      </c>
      <c r="R673" t="s">
        <v>65</v>
      </c>
      <c r="S673" t="s">
        <v>66</v>
      </c>
      <c r="T673" t="s">
        <v>66</v>
      </c>
      <c r="U673">
        <v>0</v>
      </c>
      <c r="V673">
        <v>0</v>
      </c>
      <c r="W673">
        <v>4</v>
      </c>
      <c r="X673">
        <v>0</v>
      </c>
      <c r="Y673">
        <v>0</v>
      </c>
      <c r="Z673">
        <v>0</v>
      </c>
      <c r="AA673">
        <v>0</v>
      </c>
      <c r="AB673">
        <v>3</v>
      </c>
      <c r="AC673">
        <v>0</v>
      </c>
      <c r="AD673">
        <v>0</v>
      </c>
      <c r="AE673">
        <v>0</v>
      </c>
      <c r="AF673">
        <v>0</v>
      </c>
      <c r="AG673">
        <v>1</v>
      </c>
      <c r="AH673">
        <v>0</v>
      </c>
      <c r="AI673">
        <v>5</v>
      </c>
      <c r="AJ673">
        <v>2</v>
      </c>
      <c r="AK673">
        <v>10</v>
      </c>
      <c r="AL673">
        <v>1</v>
      </c>
      <c r="AM673">
        <v>18</v>
      </c>
      <c r="AN673">
        <v>4</v>
      </c>
      <c r="AO673" t="s">
        <v>3756</v>
      </c>
      <c r="AP673" t="s">
        <v>3757</v>
      </c>
      <c r="AQ673">
        <v>0.33200000000000002</v>
      </c>
      <c r="AR673" t="s">
        <v>69</v>
      </c>
      <c r="AS673">
        <v>28</v>
      </c>
      <c r="AT673">
        <v>5</v>
      </c>
      <c r="AU673">
        <v>2.7040000000000002E-2</v>
      </c>
      <c r="AV673">
        <v>-5.5199999999999997E-3</v>
      </c>
      <c r="AW673">
        <v>0.10616</v>
      </c>
      <c r="AX673">
        <v>-2.1610000000000001E-2</v>
      </c>
      <c r="AY673">
        <v>5.79E-3</v>
      </c>
      <c r="AZ673">
        <v>-1.4E-3</v>
      </c>
      <c r="BA673">
        <v>5.4559999999999997E-2</v>
      </c>
      <c r="BB673">
        <v>1</v>
      </c>
      <c r="BC673" t="s">
        <v>70</v>
      </c>
      <c r="BD673">
        <v>1.167</v>
      </c>
      <c r="BE673">
        <v>1.167</v>
      </c>
      <c r="BF673" t="s">
        <v>71</v>
      </c>
      <c r="BG673">
        <v>1.7064846416382201E-2</v>
      </c>
      <c r="BI673">
        <v>33</v>
      </c>
      <c r="BJ673">
        <v>5.4559999999999997E-2</v>
      </c>
      <c r="BK673">
        <v>1.7064846416382201E-2</v>
      </c>
    </row>
    <row r="674" spans="1:63">
      <c r="A674">
        <v>3771</v>
      </c>
      <c r="B674" t="s">
        <v>3758</v>
      </c>
      <c r="D674" t="s">
        <v>66</v>
      </c>
      <c r="E674">
        <v>3808515</v>
      </c>
      <c r="F674">
        <v>3809369</v>
      </c>
      <c r="G674" t="s">
        <v>3760</v>
      </c>
      <c r="H674">
        <v>285</v>
      </c>
      <c r="I674" t="s">
        <v>63</v>
      </c>
      <c r="J674">
        <v>5</v>
      </c>
      <c r="K674" t="str">
        <f>HYPERLINK("Gene3771-zp_tree_all.dnd", "Gene3771-tree")</f>
        <v>Gene3771-tree</v>
      </c>
      <c r="L674">
        <v>3</v>
      </c>
      <c r="M674">
        <v>2</v>
      </c>
      <c r="N674">
        <v>3</v>
      </c>
      <c r="O674">
        <v>2</v>
      </c>
      <c r="P674">
        <v>0.4</v>
      </c>
      <c r="Q674" t="s">
        <v>86</v>
      </c>
      <c r="R674" t="s">
        <v>124</v>
      </c>
      <c r="S674" t="s">
        <v>66</v>
      </c>
      <c r="T674" t="s">
        <v>66</v>
      </c>
      <c r="U674">
        <v>0</v>
      </c>
      <c r="V674">
        <v>0</v>
      </c>
      <c r="W674">
        <v>5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5</v>
      </c>
      <c r="AH674">
        <v>0</v>
      </c>
      <c r="AI674">
        <v>5</v>
      </c>
      <c r="AJ674">
        <v>1</v>
      </c>
      <c r="AK674">
        <v>16</v>
      </c>
      <c r="AL674">
        <v>4</v>
      </c>
      <c r="AM674">
        <v>4</v>
      </c>
      <c r="AN674">
        <v>1</v>
      </c>
      <c r="AO674" t="s">
        <v>3761</v>
      </c>
      <c r="AP674" t="s">
        <v>3762</v>
      </c>
      <c r="AQ674">
        <v>2E-3</v>
      </c>
      <c r="AR674" t="s">
        <v>69</v>
      </c>
      <c r="AS674">
        <v>20</v>
      </c>
      <c r="AT674">
        <v>5</v>
      </c>
      <c r="AU674">
        <v>1.2630000000000001E-2</v>
      </c>
      <c r="AV674">
        <v>-1.4599999999999999E-3</v>
      </c>
      <c r="AW674">
        <v>4.3729999999999998E-2</v>
      </c>
      <c r="AX674">
        <v>-4.5599999999999998E-3</v>
      </c>
      <c r="AY674">
        <v>3.3899999999999998E-3</v>
      </c>
      <c r="AZ674">
        <v>-7.2000000000000005E-4</v>
      </c>
      <c r="BA674">
        <v>7.7420000000000003E-2</v>
      </c>
      <c r="BB674">
        <v>1</v>
      </c>
      <c r="BC674" t="s">
        <v>70</v>
      </c>
      <c r="BD674">
        <v>-0.46500000000000002</v>
      </c>
      <c r="BE674">
        <v>-0.46500000000000002</v>
      </c>
      <c r="BF674" t="s">
        <v>71</v>
      </c>
      <c r="BG674">
        <v>3.4482758620689599E-2</v>
      </c>
      <c r="BI674">
        <v>25</v>
      </c>
      <c r="BJ674">
        <v>7.7420000000000003E-2</v>
      </c>
      <c r="BK674">
        <v>3.4482758620689599E-2</v>
      </c>
    </row>
    <row r="675" spans="1:63">
      <c r="A675">
        <v>3772</v>
      </c>
      <c r="B675" t="s">
        <v>3763</v>
      </c>
      <c r="D675" t="s">
        <v>66</v>
      </c>
      <c r="E675">
        <v>3809553</v>
      </c>
      <c r="F675">
        <v>3809924</v>
      </c>
      <c r="G675" t="s">
        <v>3765</v>
      </c>
      <c r="H675">
        <v>124</v>
      </c>
      <c r="I675" t="s">
        <v>85</v>
      </c>
      <c r="J675">
        <v>4</v>
      </c>
      <c r="K675" t="str">
        <f>HYPERLINK("Gene3772-zp_tree_all.dnd", "Gene3772-tree")</f>
        <v>Gene3772-tree</v>
      </c>
      <c r="L675">
        <v>4</v>
      </c>
      <c r="M675">
        <v>0</v>
      </c>
      <c r="N675">
        <v>4</v>
      </c>
      <c r="O675">
        <v>0</v>
      </c>
      <c r="P675">
        <v>0</v>
      </c>
      <c r="Q675" t="s">
        <v>64</v>
      </c>
      <c r="R675" t="s">
        <v>66</v>
      </c>
      <c r="S675" t="s">
        <v>66</v>
      </c>
      <c r="T675" t="s">
        <v>66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3</v>
      </c>
      <c r="AJ675">
        <v>0</v>
      </c>
      <c r="AK675">
        <v>17</v>
      </c>
      <c r="AL675">
        <v>0</v>
      </c>
      <c r="AM675">
        <v>0</v>
      </c>
      <c r="AN675">
        <v>0</v>
      </c>
      <c r="AO675" t="s">
        <v>68</v>
      </c>
      <c r="AP675" t="s">
        <v>68</v>
      </c>
      <c r="AQ675">
        <v>0</v>
      </c>
      <c r="AR675" t="s">
        <v>69</v>
      </c>
      <c r="AS675">
        <v>17</v>
      </c>
      <c r="AT675">
        <v>0</v>
      </c>
      <c r="AU675">
        <v>2.3040000000000001E-2</v>
      </c>
      <c r="AV675">
        <v>-7.9500000000000005E-3</v>
      </c>
      <c r="AW675">
        <v>0.12253</v>
      </c>
      <c r="AX675">
        <v>-4.3200000000000002E-2</v>
      </c>
      <c r="AY675">
        <v>0</v>
      </c>
      <c r="AZ675">
        <v>0</v>
      </c>
      <c r="BA675">
        <v>0</v>
      </c>
      <c r="BB675">
        <v>1</v>
      </c>
      <c r="BC675" t="s">
        <v>70</v>
      </c>
      <c r="BD675">
        <v>-0.85099999999999998</v>
      </c>
      <c r="BE675">
        <v>-0.85099999999999998</v>
      </c>
      <c r="BF675" t="s">
        <v>71</v>
      </c>
      <c r="BG675">
        <v>7.6023391812865396E-2</v>
      </c>
      <c r="BI675">
        <v>17</v>
      </c>
      <c r="BJ675">
        <v>0</v>
      </c>
      <c r="BK675">
        <v>7.6023391812865396E-2</v>
      </c>
    </row>
    <row r="676" spans="1:63">
      <c r="A676">
        <v>3775</v>
      </c>
      <c r="B676" t="s">
        <v>3769</v>
      </c>
      <c r="D676" t="s">
        <v>66</v>
      </c>
      <c r="E676">
        <v>3812545</v>
      </c>
      <c r="F676">
        <v>3813063</v>
      </c>
      <c r="G676" t="s">
        <v>3771</v>
      </c>
      <c r="H676">
        <v>173</v>
      </c>
      <c r="I676" t="s">
        <v>106</v>
      </c>
      <c r="J676">
        <v>4</v>
      </c>
      <c r="K676" t="str">
        <f>HYPERLINK("Gene3775-zp_tree_all.dnd", "Gene3775-tree")</f>
        <v>Gene3775-tree</v>
      </c>
      <c r="L676">
        <v>0</v>
      </c>
      <c r="M676">
        <v>4</v>
      </c>
      <c r="N676">
        <v>0</v>
      </c>
      <c r="O676">
        <v>4</v>
      </c>
      <c r="P676">
        <v>1</v>
      </c>
      <c r="Q676" t="s">
        <v>66</v>
      </c>
      <c r="R676" t="s">
        <v>64</v>
      </c>
      <c r="S676" t="s">
        <v>66</v>
      </c>
      <c r="T676" t="s">
        <v>66</v>
      </c>
      <c r="U676">
        <v>0</v>
      </c>
      <c r="V676">
        <v>0</v>
      </c>
      <c r="W676">
        <v>9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9</v>
      </c>
      <c r="AH676">
        <v>0</v>
      </c>
      <c r="AI676">
        <v>4</v>
      </c>
      <c r="AJ676">
        <v>0</v>
      </c>
      <c r="AK676">
        <v>18</v>
      </c>
      <c r="AL676">
        <v>10</v>
      </c>
      <c r="AM676">
        <v>0</v>
      </c>
      <c r="AN676">
        <v>0</v>
      </c>
      <c r="AO676" t="s">
        <v>3772</v>
      </c>
      <c r="AP676" t="s">
        <v>68</v>
      </c>
      <c r="AQ676">
        <v>0.83</v>
      </c>
      <c r="AR676" t="s">
        <v>69</v>
      </c>
      <c r="AS676">
        <v>18</v>
      </c>
      <c r="AT676">
        <v>10</v>
      </c>
      <c r="AU676">
        <v>2.7449999999999999E-2</v>
      </c>
      <c r="AV676">
        <v>-7.0099999999999997E-3</v>
      </c>
      <c r="AW676">
        <v>0.1013</v>
      </c>
      <c r="AX676">
        <v>-2.7720000000000002E-2</v>
      </c>
      <c r="AY676">
        <v>1.226E-2</v>
      </c>
      <c r="AZ676">
        <v>-3.0200000000000001E-3</v>
      </c>
      <c r="BA676">
        <v>0.12107</v>
      </c>
      <c r="BB676">
        <v>1</v>
      </c>
      <c r="BC676" t="s">
        <v>70</v>
      </c>
      <c r="BD676">
        <v>-0.86</v>
      </c>
      <c r="BE676">
        <v>-0.86</v>
      </c>
      <c r="BF676" t="s">
        <v>71</v>
      </c>
      <c r="BG676">
        <v>0.22641509433962201</v>
      </c>
      <c r="BI676">
        <v>28</v>
      </c>
      <c r="BJ676">
        <v>0.12107</v>
      </c>
      <c r="BK676">
        <v>0.22641509433962201</v>
      </c>
    </row>
    <row r="677" spans="1:63">
      <c r="A677">
        <v>3809</v>
      </c>
      <c r="B677" t="s">
        <v>3790</v>
      </c>
      <c r="D677" t="s">
        <v>66</v>
      </c>
      <c r="E677">
        <v>3848789</v>
      </c>
      <c r="F677">
        <v>3849616</v>
      </c>
      <c r="G677" t="s">
        <v>3792</v>
      </c>
      <c r="H677">
        <v>276</v>
      </c>
      <c r="I677" t="s">
        <v>106</v>
      </c>
      <c r="J677">
        <v>4</v>
      </c>
      <c r="K677" t="str">
        <f>HYPERLINK("Gene3809-zp_tree_all.dnd", "Gene3809-tree")</f>
        <v>Gene3809-tree</v>
      </c>
      <c r="L677">
        <v>3</v>
      </c>
      <c r="M677">
        <v>1</v>
      </c>
      <c r="N677">
        <v>3</v>
      </c>
      <c r="O677">
        <v>1</v>
      </c>
      <c r="P677">
        <v>0.25</v>
      </c>
      <c r="Q677" t="s">
        <v>86</v>
      </c>
      <c r="R677" t="s">
        <v>65</v>
      </c>
      <c r="S677" t="s">
        <v>66</v>
      </c>
      <c r="T677" t="s">
        <v>66</v>
      </c>
      <c r="U677">
        <v>0</v>
      </c>
      <c r="V677">
        <v>0</v>
      </c>
      <c r="W677">
        <v>2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2</v>
      </c>
      <c r="AH677">
        <v>0</v>
      </c>
      <c r="AI677">
        <v>4</v>
      </c>
      <c r="AJ677">
        <v>1</v>
      </c>
      <c r="AK677">
        <v>40</v>
      </c>
      <c r="AL677">
        <v>2</v>
      </c>
      <c r="AM677">
        <v>5</v>
      </c>
      <c r="AN677">
        <v>0</v>
      </c>
      <c r="AO677" t="s">
        <v>3793</v>
      </c>
      <c r="AP677" t="s">
        <v>68</v>
      </c>
      <c r="AQ677">
        <v>0.54200000000000004</v>
      </c>
      <c r="AR677" t="s">
        <v>69</v>
      </c>
      <c r="AS677">
        <v>45</v>
      </c>
      <c r="AT677">
        <v>2</v>
      </c>
      <c r="AU677">
        <v>2.7779999999999999E-2</v>
      </c>
      <c r="AV677">
        <v>-5.0499999999999998E-3</v>
      </c>
      <c r="AW677">
        <v>0.13344</v>
      </c>
      <c r="AX677">
        <v>-2.4510000000000001E-2</v>
      </c>
      <c r="AY677">
        <v>1.5499999999999999E-3</v>
      </c>
      <c r="AZ677">
        <v>-6.3000000000000003E-4</v>
      </c>
      <c r="BA677">
        <v>1.1639999999999999E-2</v>
      </c>
      <c r="BB677">
        <v>1</v>
      </c>
      <c r="BC677" t="s">
        <v>70</v>
      </c>
      <c r="BD677">
        <v>4.1000000000000002E-2</v>
      </c>
      <c r="BE677">
        <v>-0.63900000000000001</v>
      </c>
      <c r="BF677" t="s">
        <v>71</v>
      </c>
      <c r="BG677">
        <v>8.4468664850136196E-2</v>
      </c>
      <c r="BI677">
        <v>47</v>
      </c>
      <c r="BJ677">
        <v>1.1639999999999999E-2</v>
      </c>
      <c r="BK677">
        <v>8.4468664850136196E-2</v>
      </c>
    </row>
    <row r="678" spans="1:63">
      <c r="A678">
        <v>3818</v>
      </c>
      <c r="B678" t="s">
        <v>3797</v>
      </c>
      <c r="D678" t="s">
        <v>66</v>
      </c>
      <c r="E678">
        <v>3859002</v>
      </c>
      <c r="F678">
        <v>3859499</v>
      </c>
      <c r="G678" t="s">
        <v>74</v>
      </c>
      <c r="H678">
        <v>166</v>
      </c>
      <c r="I678" t="s">
        <v>63</v>
      </c>
      <c r="J678">
        <v>5</v>
      </c>
      <c r="K678" t="str">
        <f>HYPERLINK("Gene3818-zp_tree_all.dnd", "Gene3818-tree")</f>
        <v>Gene3818-tree</v>
      </c>
      <c r="L678">
        <v>4</v>
      </c>
      <c r="M678">
        <v>1</v>
      </c>
      <c r="N678">
        <v>4</v>
      </c>
      <c r="O678">
        <v>1</v>
      </c>
      <c r="P678">
        <v>0.2</v>
      </c>
      <c r="Q678" t="s">
        <v>64</v>
      </c>
      <c r="R678" t="s">
        <v>65</v>
      </c>
      <c r="S678" t="s">
        <v>66</v>
      </c>
      <c r="T678" t="s">
        <v>66</v>
      </c>
      <c r="U678">
        <v>0</v>
      </c>
      <c r="V678">
        <v>0</v>
      </c>
      <c r="W678">
        <v>3</v>
      </c>
      <c r="X678">
        <v>0</v>
      </c>
      <c r="Y678">
        <v>0</v>
      </c>
      <c r="Z678">
        <v>0</v>
      </c>
      <c r="AA678">
        <v>0</v>
      </c>
      <c r="AB678">
        <v>2</v>
      </c>
      <c r="AC678">
        <v>0</v>
      </c>
      <c r="AD678">
        <v>0</v>
      </c>
      <c r="AE678">
        <v>0</v>
      </c>
      <c r="AF678">
        <v>0</v>
      </c>
      <c r="AG678">
        <v>1</v>
      </c>
      <c r="AH678">
        <v>0</v>
      </c>
      <c r="AI678">
        <v>4</v>
      </c>
      <c r="AJ678">
        <v>2</v>
      </c>
      <c r="AK678">
        <v>14</v>
      </c>
      <c r="AL678">
        <v>1</v>
      </c>
      <c r="AM678">
        <v>7</v>
      </c>
      <c r="AN678">
        <v>2</v>
      </c>
      <c r="AO678" t="s">
        <v>3799</v>
      </c>
      <c r="AP678" t="s">
        <v>3800</v>
      </c>
      <c r="AQ678">
        <v>0.65100000000000002</v>
      </c>
      <c r="AR678" t="s">
        <v>69</v>
      </c>
      <c r="AS678">
        <v>21</v>
      </c>
      <c r="AT678">
        <v>3</v>
      </c>
      <c r="AU678">
        <v>2.2890000000000001E-2</v>
      </c>
      <c r="AV678">
        <v>-3.2299999999999998E-3</v>
      </c>
      <c r="AW678">
        <v>9.9349999999999994E-2</v>
      </c>
      <c r="AX678">
        <v>-1.417E-2</v>
      </c>
      <c r="AY678">
        <v>4.1000000000000003E-3</v>
      </c>
      <c r="AZ678">
        <v>-7.2000000000000005E-4</v>
      </c>
      <c r="BA678">
        <v>4.1309999999999999E-2</v>
      </c>
      <c r="BB678">
        <v>1</v>
      </c>
      <c r="BC678" t="s">
        <v>70</v>
      </c>
      <c r="BD678">
        <v>-7.6999999999999999E-2</v>
      </c>
      <c r="BE678">
        <v>-7.6999999999999999E-2</v>
      </c>
      <c r="BF678" t="s">
        <v>71</v>
      </c>
      <c r="BG678">
        <v>0.141463414634146</v>
      </c>
      <c r="BI678">
        <v>24</v>
      </c>
      <c r="BJ678">
        <v>4.1309999999999999E-2</v>
      </c>
      <c r="BK678">
        <v>0.141463414634146</v>
      </c>
    </row>
    <row r="679" spans="1:63">
      <c r="A679">
        <v>3819</v>
      </c>
      <c r="B679" t="s">
        <v>3801</v>
      </c>
      <c r="D679" t="s">
        <v>66</v>
      </c>
      <c r="E679">
        <v>3859538</v>
      </c>
      <c r="F679">
        <v>3860836</v>
      </c>
      <c r="G679" t="s">
        <v>74</v>
      </c>
      <c r="H679">
        <v>433</v>
      </c>
      <c r="I679" t="s">
        <v>63</v>
      </c>
      <c r="J679">
        <v>5</v>
      </c>
      <c r="K679" t="str">
        <f>HYPERLINK("Gene3819-zp_tree_all.dnd", "Gene3819-tree")</f>
        <v>Gene3819-tree</v>
      </c>
      <c r="L679">
        <v>1</v>
      </c>
      <c r="M679">
        <v>4</v>
      </c>
      <c r="N679">
        <v>1</v>
      </c>
      <c r="O679">
        <v>4</v>
      </c>
      <c r="P679">
        <v>0.8</v>
      </c>
      <c r="Q679" t="s">
        <v>65</v>
      </c>
      <c r="R679" t="s">
        <v>64</v>
      </c>
      <c r="S679" t="s">
        <v>66</v>
      </c>
      <c r="T679" t="s">
        <v>66</v>
      </c>
      <c r="U679">
        <v>0</v>
      </c>
      <c r="V679">
        <v>0</v>
      </c>
      <c r="W679">
        <v>9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9</v>
      </c>
      <c r="AH679">
        <v>0</v>
      </c>
      <c r="AI679">
        <v>5</v>
      </c>
      <c r="AJ679">
        <v>2</v>
      </c>
      <c r="AK679">
        <v>29</v>
      </c>
      <c r="AL679">
        <v>7</v>
      </c>
      <c r="AM679">
        <v>39</v>
      </c>
      <c r="AN679">
        <v>2</v>
      </c>
      <c r="AO679" t="s">
        <v>3803</v>
      </c>
      <c r="AP679" t="s">
        <v>3804</v>
      </c>
      <c r="AQ679">
        <v>2.1070000000000002</v>
      </c>
      <c r="AR679" t="s">
        <v>239</v>
      </c>
      <c r="AS679">
        <v>68</v>
      </c>
      <c r="AT679">
        <v>9</v>
      </c>
      <c r="AU679">
        <v>2.81E-2</v>
      </c>
      <c r="AV679">
        <v>-3.98E-3</v>
      </c>
      <c r="AW679">
        <v>0.12264</v>
      </c>
      <c r="AX679">
        <v>-1.9380000000000001E-2</v>
      </c>
      <c r="AY679">
        <v>4.0800000000000003E-3</v>
      </c>
      <c r="AZ679">
        <v>-4.6000000000000001E-4</v>
      </c>
      <c r="BA679">
        <v>3.3300000000000003E-2</v>
      </c>
      <c r="BB679">
        <v>1</v>
      </c>
      <c r="BC679" t="s">
        <v>70</v>
      </c>
      <c r="BD679">
        <v>0.77300000000000002</v>
      </c>
      <c r="BE679">
        <v>6.4000000000000001E-2</v>
      </c>
      <c r="BF679" t="s">
        <v>71</v>
      </c>
      <c r="BG679">
        <v>8.4142394822006403E-2</v>
      </c>
      <c r="BI679">
        <v>77</v>
      </c>
      <c r="BJ679">
        <v>3.3300000000000003E-2</v>
      </c>
      <c r="BK679">
        <v>8.4142394822006403E-2</v>
      </c>
    </row>
    <row r="680" spans="1:63">
      <c r="A680">
        <v>3820</v>
      </c>
      <c r="B680" t="s">
        <v>3805</v>
      </c>
      <c r="D680" t="s">
        <v>66</v>
      </c>
      <c r="E680">
        <v>3861001</v>
      </c>
      <c r="F680">
        <v>3861222</v>
      </c>
      <c r="G680" t="s">
        <v>74</v>
      </c>
      <c r="H680">
        <v>74</v>
      </c>
      <c r="I680" t="s">
        <v>63</v>
      </c>
      <c r="J680">
        <v>5</v>
      </c>
      <c r="K680" t="str">
        <f>HYPERLINK("Gene3820-zp_tree_all.dnd", "Gene3820-tree")</f>
        <v>Gene3820-tree</v>
      </c>
      <c r="L680">
        <v>5</v>
      </c>
      <c r="M680">
        <v>0</v>
      </c>
      <c r="N680">
        <v>4</v>
      </c>
      <c r="O680">
        <v>0</v>
      </c>
      <c r="P680">
        <v>0</v>
      </c>
      <c r="Q680" t="s">
        <v>135</v>
      </c>
      <c r="R680" t="s">
        <v>66</v>
      </c>
      <c r="S680" t="s">
        <v>66</v>
      </c>
      <c r="T680" t="s">
        <v>66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2</v>
      </c>
      <c r="AJ680">
        <v>1</v>
      </c>
      <c r="AK680">
        <v>3</v>
      </c>
      <c r="AL680">
        <v>0</v>
      </c>
      <c r="AM680">
        <v>2</v>
      </c>
      <c r="AN680">
        <v>0</v>
      </c>
      <c r="AO680" t="s">
        <v>68</v>
      </c>
      <c r="AP680" t="s">
        <v>68</v>
      </c>
      <c r="AQ680">
        <v>0</v>
      </c>
      <c r="AR680" t="s">
        <v>69</v>
      </c>
      <c r="AS680">
        <v>5</v>
      </c>
      <c r="AT680">
        <v>0</v>
      </c>
      <c r="AU680">
        <v>1.2760000000000001E-2</v>
      </c>
      <c r="AV680">
        <v>-2.47E-3</v>
      </c>
      <c r="AW680">
        <v>6.0769999999999998E-2</v>
      </c>
      <c r="AX680">
        <v>-1.222E-2</v>
      </c>
      <c r="AY680">
        <v>0</v>
      </c>
      <c r="AZ680">
        <v>0</v>
      </c>
      <c r="BA680">
        <v>0</v>
      </c>
      <c r="BB680">
        <v>1</v>
      </c>
      <c r="BC680" t="s">
        <v>70</v>
      </c>
      <c r="BD680">
        <v>0</v>
      </c>
      <c r="BE680">
        <v>0</v>
      </c>
      <c r="BF680" t="s">
        <v>71</v>
      </c>
      <c r="BG680">
        <v>0.163265306122448</v>
      </c>
      <c r="BI680">
        <v>5</v>
      </c>
      <c r="BJ680">
        <v>0</v>
      </c>
      <c r="BK680">
        <v>0.163265306122448</v>
      </c>
    </row>
    <row r="681" spans="1:63">
      <c r="A681">
        <v>3825</v>
      </c>
      <c r="B681" t="s">
        <v>3807</v>
      </c>
      <c r="D681" t="s">
        <v>66</v>
      </c>
      <c r="E681">
        <v>3865358</v>
      </c>
      <c r="F681">
        <v>3866326</v>
      </c>
      <c r="G681" t="s">
        <v>3809</v>
      </c>
      <c r="H681">
        <v>323</v>
      </c>
      <c r="I681" t="s">
        <v>63</v>
      </c>
      <c r="J681">
        <v>5</v>
      </c>
      <c r="K681" t="str">
        <f>HYPERLINK("Gene3825-zp_tree_all.dnd", "Gene3825-tree")</f>
        <v>Gene3825-tree</v>
      </c>
      <c r="L681">
        <v>1</v>
      </c>
      <c r="M681">
        <v>4</v>
      </c>
      <c r="N681">
        <v>1</v>
      </c>
      <c r="O681">
        <v>4</v>
      </c>
      <c r="P681">
        <v>0.8</v>
      </c>
      <c r="Q681" t="s">
        <v>65</v>
      </c>
      <c r="R681" t="s">
        <v>64</v>
      </c>
      <c r="S681" t="s">
        <v>66</v>
      </c>
      <c r="T681" t="s">
        <v>66</v>
      </c>
      <c r="U681">
        <v>1</v>
      </c>
      <c r="V681">
        <v>2</v>
      </c>
      <c r="W681">
        <v>5</v>
      </c>
      <c r="X681">
        <v>0.28571000000000002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2</v>
      </c>
      <c r="AF681">
        <v>2</v>
      </c>
      <c r="AG681">
        <v>5</v>
      </c>
      <c r="AH681">
        <v>0.28571000000000002</v>
      </c>
      <c r="AI681">
        <v>5</v>
      </c>
      <c r="AJ681">
        <v>2</v>
      </c>
      <c r="AK681">
        <v>25</v>
      </c>
      <c r="AL681">
        <v>4</v>
      </c>
      <c r="AM681">
        <v>17</v>
      </c>
      <c r="AN681">
        <v>3</v>
      </c>
      <c r="AO681" t="s">
        <v>3810</v>
      </c>
      <c r="AP681" t="s">
        <v>3811</v>
      </c>
      <c r="AQ681">
        <v>7.8E-2</v>
      </c>
      <c r="AR681" t="s">
        <v>69</v>
      </c>
      <c r="AS681">
        <v>42</v>
      </c>
      <c r="AT681">
        <v>7</v>
      </c>
      <c r="AU681">
        <v>2.3939999999999999E-2</v>
      </c>
      <c r="AV681">
        <v>-3.46E-3</v>
      </c>
      <c r="AW681">
        <v>9.5100000000000004E-2</v>
      </c>
      <c r="AX681">
        <v>-1.465E-2</v>
      </c>
      <c r="AY681">
        <v>4.5900000000000003E-3</v>
      </c>
      <c r="AZ681">
        <v>-6.8999999999999997E-4</v>
      </c>
      <c r="BA681">
        <v>4.8230000000000002E-2</v>
      </c>
      <c r="BB681">
        <v>1</v>
      </c>
      <c r="BC681" t="s">
        <v>70</v>
      </c>
      <c r="BD681">
        <v>5.1999999999999998E-2</v>
      </c>
      <c r="BE681">
        <v>5.1999999999999998E-2</v>
      </c>
      <c r="BF681" t="s">
        <v>71</v>
      </c>
      <c r="BG681">
        <v>7.7625570776255703E-2</v>
      </c>
      <c r="BI681">
        <v>49</v>
      </c>
      <c r="BJ681">
        <v>4.8230000000000002E-2</v>
      </c>
      <c r="BK681">
        <v>7.7625570776255703E-2</v>
      </c>
    </row>
    <row r="682" spans="1:63">
      <c r="A682">
        <v>3833</v>
      </c>
      <c r="B682" t="s">
        <v>3812</v>
      </c>
      <c r="D682" t="s">
        <v>66</v>
      </c>
      <c r="E682">
        <v>3873569</v>
      </c>
      <c r="F682">
        <v>3874180</v>
      </c>
      <c r="G682" t="s">
        <v>3814</v>
      </c>
      <c r="H682">
        <v>204</v>
      </c>
      <c r="I682" t="s">
        <v>85</v>
      </c>
      <c r="J682">
        <v>4</v>
      </c>
      <c r="K682" t="str">
        <f>HYPERLINK("Gene3833-zp_tree_all.dnd", "Gene3833-tree")</f>
        <v>Gene3833-tree</v>
      </c>
      <c r="L682">
        <v>3</v>
      </c>
      <c r="M682">
        <v>1</v>
      </c>
      <c r="N682">
        <v>3</v>
      </c>
      <c r="O682">
        <v>1</v>
      </c>
      <c r="P682">
        <v>0.25</v>
      </c>
      <c r="Q682" t="s">
        <v>86</v>
      </c>
      <c r="R682" t="s">
        <v>65</v>
      </c>
      <c r="S682" t="s">
        <v>66</v>
      </c>
      <c r="T682" t="s">
        <v>66</v>
      </c>
      <c r="U682">
        <v>0</v>
      </c>
      <c r="V682">
        <v>0</v>
      </c>
      <c r="W682">
        <v>4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4</v>
      </c>
      <c r="AH682">
        <v>0</v>
      </c>
      <c r="AI682">
        <v>3</v>
      </c>
      <c r="AJ682">
        <v>1</v>
      </c>
      <c r="AK682">
        <v>26</v>
      </c>
      <c r="AL682">
        <v>4</v>
      </c>
      <c r="AM682">
        <v>1</v>
      </c>
      <c r="AN682">
        <v>0</v>
      </c>
      <c r="AO682" t="s">
        <v>3815</v>
      </c>
      <c r="AP682" t="s">
        <v>68</v>
      </c>
      <c r="AQ682">
        <v>0.48</v>
      </c>
      <c r="AR682" t="s">
        <v>69</v>
      </c>
      <c r="AS682">
        <v>27</v>
      </c>
      <c r="AT682">
        <v>4</v>
      </c>
      <c r="AU682">
        <v>2.5329999999999998E-2</v>
      </c>
      <c r="AV682">
        <v>-9.0100000000000006E-3</v>
      </c>
      <c r="AW682">
        <v>0.11225</v>
      </c>
      <c r="AX682">
        <v>-3.986E-2</v>
      </c>
      <c r="AY682">
        <v>4.2300000000000003E-3</v>
      </c>
      <c r="AZ682">
        <v>-1.73E-3</v>
      </c>
      <c r="BA682">
        <v>3.7690000000000001E-2</v>
      </c>
      <c r="BB682">
        <v>1</v>
      </c>
      <c r="BC682" t="s">
        <v>70</v>
      </c>
      <c r="BD682">
        <v>-0.54600000000000004</v>
      </c>
      <c r="BE682">
        <v>-0.86099999999999999</v>
      </c>
      <c r="BF682" t="s">
        <v>71</v>
      </c>
      <c r="BG682">
        <v>-4.4534412955465501E-2</v>
      </c>
      <c r="BI682">
        <v>31</v>
      </c>
      <c r="BJ682">
        <v>3.7690000000000001E-2</v>
      </c>
      <c r="BK682">
        <v>-4.4534412955465501E-2</v>
      </c>
    </row>
    <row r="683" spans="1:63">
      <c r="A683">
        <v>3833</v>
      </c>
      <c r="B683" t="s">
        <v>3812</v>
      </c>
      <c r="D683" t="s">
        <v>66</v>
      </c>
      <c r="E683">
        <v>3873569</v>
      </c>
      <c r="F683">
        <v>3874180</v>
      </c>
      <c r="G683" t="s">
        <v>3814</v>
      </c>
      <c r="H683">
        <v>204</v>
      </c>
      <c r="I683" t="s">
        <v>85</v>
      </c>
      <c r="J683">
        <v>4</v>
      </c>
      <c r="K683" t="str">
        <f>HYPERLINK("Gene3833-zp_tree_all.dnd", "Gene3833-tree")</f>
        <v>Gene3833-tree</v>
      </c>
      <c r="L683">
        <v>3</v>
      </c>
      <c r="M683">
        <v>1</v>
      </c>
      <c r="N683">
        <v>3</v>
      </c>
      <c r="O683">
        <v>1</v>
      </c>
      <c r="P683">
        <v>0.25</v>
      </c>
      <c r="Q683" t="s">
        <v>86</v>
      </c>
      <c r="R683" t="s">
        <v>65</v>
      </c>
      <c r="S683" t="s">
        <v>66</v>
      </c>
      <c r="T683" t="s">
        <v>66</v>
      </c>
      <c r="U683">
        <v>0</v>
      </c>
      <c r="V683">
        <v>0</v>
      </c>
      <c r="W683">
        <v>4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4</v>
      </c>
      <c r="AH683">
        <v>0</v>
      </c>
      <c r="AI683">
        <v>3</v>
      </c>
      <c r="AJ683">
        <v>1</v>
      </c>
      <c r="AK683">
        <v>26</v>
      </c>
      <c r="AL683">
        <v>4</v>
      </c>
      <c r="AM683">
        <v>1</v>
      </c>
      <c r="AN683">
        <v>0</v>
      </c>
      <c r="AO683" t="s">
        <v>3815</v>
      </c>
      <c r="AP683" t="s">
        <v>68</v>
      </c>
      <c r="AQ683">
        <v>0.48</v>
      </c>
      <c r="AR683" t="s">
        <v>69</v>
      </c>
      <c r="AS683">
        <v>27</v>
      </c>
      <c r="AT683">
        <v>4</v>
      </c>
      <c r="AU683">
        <v>2.5329999999999998E-2</v>
      </c>
      <c r="AV683">
        <v>-9.0100000000000006E-3</v>
      </c>
      <c r="AW683">
        <v>0.11225</v>
      </c>
      <c r="AX683">
        <v>-3.986E-2</v>
      </c>
      <c r="AY683">
        <v>4.2300000000000003E-3</v>
      </c>
      <c r="AZ683">
        <v>-1.73E-3</v>
      </c>
      <c r="BA683">
        <v>3.7690000000000001E-2</v>
      </c>
      <c r="BB683">
        <v>1</v>
      </c>
      <c r="BC683" t="s">
        <v>70</v>
      </c>
      <c r="BD683">
        <v>-0.54600000000000004</v>
      </c>
      <c r="BE683">
        <v>-0.86099999999999999</v>
      </c>
      <c r="BF683" t="s">
        <v>71</v>
      </c>
      <c r="BG683">
        <v>-4.4534412955465501E-2</v>
      </c>
      <c r="BI683">
        <v>31</v>
      </c>
      <c r="BJ683">
        <v>3.7690000000000001E-2</v>
      </c>
      <c r="BK683">
        <v>-4.4534412955465501E-2</v>
      </c>
    </row>
    <row r="684" spans="1:63">
      <c r="A684">
        <v>3850</v>
      </c>
      <c r="B684" t="s">
        <v>3816</v>
      </c>
      <c r="D684" t="s">
        <v>66</v>
      </c>
      <c r="E684">
        <v>3892354</v>
      </c>
      <c r="F684">
        <v>3893121</v>
      </c>
      <c r="G684" t="s">
        <v>3818</v>
      </c>
      <c r="H684">
        <v>256</v>
      </c>
      <c r="I684" t="s">
        <v>63</v>
      </c>
      <c r="J684">
        <v>5</v>
      </c>
      <c r="K684" t="str">
        <f>HYPERLINK("Gene3850-zp_tree_all.dnd", "Gene3850-tree")</f>
        <v>Gene3850-tree</v>
      </c>
      <c r="L684">
        <v>2</v>
      </c>
      <c r="M684">
        <v>3</v>
      </c>
      <c r="N684">
        <v>2</v>
      </c>
      <c r="O684">
        <v>3</v>
      </c>
      <c r="P684">
        <v>0.6</v>
      </c>
      <c r="Q684" t="s">
        <v>124</v>
      </c>
      <c r="R684" t="s">
        <v>86</v>
      </c>
      <c r="S684" t="s">
        <v>66</v>
      </c>
      <c r="T684" t="s">
        <v>66</v>
      </c>
      <c r="U684">
        <v>2</v>
      </c>
      <c r="V684">
        <v>4</v>
      </c>
      <c r="W684">
        <v>11</v>
      </c>
      <c r="X684">
        <v>0.26667000000000002</v>
      </c>
      <c r="Y684">
        <v>0</v>
      </c>
      <c r="Z684">
        <v>0</v>
      </c>
      <c r="AA684">
        <v>0</v>
      </c>
      <c r="AB684">
        <v>2</v>
      </c>
      <c r="AC684">
        <v>0</v>
      </c>
      <c r="AD684">
        <v>0</v>
      </c>
      <c r="AE684">
        <v>2</v>
      </c>
      <c r="AF684">
        <v>2</v>
      </c>
      <c r="AG684">
        <v>11</v>
      </c>
      <c r="AH684">
        <v>0.15384999999999999</v>
      </c>
      <c r="AI684">
        <v>5</v>
      </c>
      <c r="AJ684">
        <v>2</v>
      </c>
      <c r="AK684">
        <v>25</v>
      </c>
      <c r="AL684">
        <v>11</v>
      </c>
      <c r="AM684">
        <v>17</v>
      </c>
      <c r="AN684">
        <v>4</v>
      </c>
      <c r="AO684" t="s">
        <v>3819</v>
      </c>
      <c r="AP684" t="s">
        <v>3820</v>
      </c>
      <c r="AQ684">
        <v>0.45800000000000002</v>
      </c>
      <c r="AR684" t="s">
        <v>69</v>
      </c>
      <c r="AS684">
        <v>42</v>
      </c>
      <c r="AT684">
        <v>15</v>
      </c>
      <c r="AU684">
        <v>3.3459999999999997E-2</v>
      </c>
      <c r="AV684">
        <v>-5.3800000000000002E-3</v>
      </c>
      <c r="AW684">
        <v>0.12672</v>
      </c>
      <c r="AX684">
        <v>-2.1669999999999998E-2</v>
      </c>
      <c r="AY684">
        <v>1.0789999999999999E-2</v>
      </c>
      <c r="AZ684">
        <v>-1.73E-3</v>
      </c>
      <c r="BA684">
        <v>8.5139999999999993E-2</v>
      </c>
      <c r="BB684">
        <v>1</v>
      </c>
      <c r="BC684" t="s">
        <v>70</v>
      </c>
      <c r="BD684">
        <v>7.6999999999999999E-2</v>
      </c>
      <c r="BE684">
        <v>-0.36799999999999999</v>
      </c>
      <c r="BF684" t="s">
        <v>71</v>
      </c>
      <c r="BG684">
        <v>9.5238095238095205E-2</v>
      </c>
      <c r="BI684">
        <v>57</v>
      </c>
      <c r="BJ684">
        <v>8.5139999999999993E-2</v>
      </c>
      <c r="BK684">
        <v>9.5238095238095205E-2</v>
      </c>
    </row>
    <row r="685" spans="1:63">
      <c r="A685">
        <v>3861</v>
      </c>
      <c r="B685" t="s">
        <v>3821</v>
      </c>
      <c r="D685" t="s">
        <v>60</v>
      </c>
      <c r="E685">
        <v>3900963</v>
      </c>
      <c r="F685">
        <v>3901775</v>
      </c>
      <c r="G685" t="s">
        <v>3823</v>
      </c>
      <c r="H685">
        <v>271</v>
      </c>
      <c r="I685" t="s">
        <v>63</v>
      </c>
      <c r="J685">
        <v>5</v>
      </c>
      <c r="K685" t="str">
        <f>HYPERLINK("Gene3861-zp_tree_all.dnd", "Gene3861-tree")</f>
        <v>Gene3861-tree</v>
      </c>
      <c r="L685">
        <v>1</v>
      </c>
      <c r="M685">
        <v>4</v>
      </c>
      <c r="N685">
        <v>1</v>
      </c>
      <c r="O685">
        <v>3</v>
      </c>
      <c r="P685">
        <v>0.75</v>
      </c>
      <c r="Q685" t="s">
        <v>65</v>
      </c>
      <c r="R685" t="s">
        <v>112</v>
      </c>
      <c r="S685">
        <v>5</v>
      </c>
      <c r="T685" t="s">
        <v>239</v>
      </c>
      <c r="U685">
        <v>0</v>
      </c>
      <c r="V685">
        <v>0</v>
      </c>
      <c r="W685">
        <v>4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4</v>
      </c>
      <c r="AH685">
        <v>0</v>
      </c>
      <c r="AI685">
        <v>4</v>
      </c>
      <c r="AJ685">
        <v>1</v>
      </c>
      <c r="AK685">
        <v>34</v>
      </c>
      <c r="AL685">
        <v>3</v>
      </c>
      <c r="AM685">
        <v>21</v>
      </c>
      <c r="AN685">
        <v>1</v>
      </c>
      <c r="AO685" t="s">
        <v>3824</v>
      </c>
      <c r="AP685" t="s">
        <v>3825</v>
      </c>
      <c r="AQ685">
        <v>1.6859999999999999</v>
      </c>
      <c r="AR685" t="s">
        <v>69</v>
      </c>
      <c r="AS685">
        <v>55</v>
      </c>
      <c r="AT685">
        <v>4</v>
      </c>
      <c r="AU685">
        <v>3.9359999999999999E-2</v>
      </c>
      <c r="AV685">
        <v>-5.3699999999999998E-3</v>
      </c>
      <c r="AW685">
        <v>0.17760000000000001</v>
      </c>
      <c r="AX685">
        <v>-2.6919999999999999E-2</v>
      </c>
      <c r="AY685">
        <v>3.5000000000000001E-3</v>
      </c>
      <c r="AZ685">
        <v>-4.4999999999999999E-4</v>
      </c>
      <c r="BA685">
        <v>1.968E-2</v>
      </c>
      <c r="BB685">
        <v>1</v>
      </c>
      <c r="BC685" t="s">
        <v>70</v>
      </c>
      <c r="BD685">
        <v>0.372</v>
      </c>
      <c r="BE685">
        <v>0.114</v>
      </c>
      <c r="BF685" t="s">
        <v>71</v>
      </c>
      <c r="BG685">
        <v>2.7989821882951599E-2</v>
      </c>
      <c r="BI685">
        <v>59</v>
      </c>
      <c r="BJ685">
        <v>1.968E-2</v>
      </c>
      <c r="BK685">
        <v>2.7989821882951599E-2</v>
      </c>
    </row>
    <row r="686" spans="1:63">
      <c r="A686">
        <v>3866</v>
      </c>
      <c r="B686" t="s">
        <v>3826</v>
      </c>
      <c r="D686" t="s">
        <v>66</v>
      </c>
      <c r="E686">
        <v>3906145</v>
      </c>
      <c r="F686">
        <v>3906972</v>
      </c>
      <c r="G686" t="s">
        <v>3828</v>
      </c>
      <c r="H686">
        <v>276</v>
      </c>
      <c r="I686" t="s">
        <v>1308</v>
      </c>
      <c r="J686">
        <v>4</v>
      </c>
      <c r="K686" t="str">
        <f>HYPERLINK("Gene3866-zp_tree_all.dnd", "Gene3866-tree")</f>
        <v>Gene3866-tree</v>
      </c>
      <c r="L686">
        <v>1</v>
      </c>
      <c r="M686">
        <v>3</v>
      </c>
      <c r="N686">
        <v>1</v>
      </c>
      <c r="O686">
        <v>3</v>
      </c>
      <c r="P686">
        <v>0.75</v>
      </c>
      <c r="Q686" t="s">
        <v>65</v>
      </c>
      <c r="R686" t="s">
        <v>86</v>
      </c>
      <c r="S686" t="s">
        <v>66</v>
      </c>
      <c r="T686" t="s">
        <v>66</v>
      </c>
      <c r="U686">
        <v>0</v>
      </c>
      <c r="V686">
        <v>0</v>
      </c>
      <c r="W686">
        <v>6</v>
      </c>
      <c r="X686">
        <v>0</v>
      </c>
      <c r="Y686">
        <v>0</v>
      </c>
      <c r="Z686">
        <v>0</v>
      </c>
      <c r="AA686">
        <v>0</v>
      </c>
      <c r="AB686">
        <v>2</v>
      </c>
      <c r="AC686">
        <v>0</v>
      </c>
      <c r="AD686">
        <v>0</v>
      </c>
      <c r="AE686">
        <v>0</v>
      </c>
      <c r="AF686">
        <v>0</v>
      </c>
      <c r="AG686">
        <v>4</v>
      </c>
      <c r="AH686">
        <v>0</v>
      </c>
      <c r="AI686">
        <v>3</v>
      </c>
      <c r="AJ686">
        <v>1</v>
      </c>
      <c r="AK686">
        <v>14</v>
      </c>
      <c r="AL686">
        <v>4</v>
      </c>
      <c r="AM686">
        <v>11</v>
      </c>
      <c r="AN686">
        <v>2</v>
      </c>
      <c r="AO686" t="s">
        <v>3829</v>
      </c>
      <c r="AP686" t="s">
        <v>3830</v>
      </c>
      <c r="AQ686">
        <v>0.46</v>
      </c>
      <c r="AR686" t="s">
        <v>69</v>
      </c>
      <c r="AS686">
        <v>25</v>
      </c>
      <c r="AT686">
        <v>6</v>
      </c>
      <c r="AU686">
        <v>2.0930000000000001E-2</v>
      </c>
      <c r="AV686">
        <v>-3.7799999999999999E-3</v>
      </c>
      <c r="AW686">
        <v>8.4699999999999998E-2</v>
      </c>
      <c r="AX686">
        <v>-1.5859999999999999E-2</v>
      </c>
      <c r="AY686">
        <v>5.1399999999999996E-3</v>
      </c>
      <c r="AZ686">
        <v>-1.07E-3</v>
      </c>
      <c r="BA686">
        <v>6.0699999999999997E-2</v>
      </c>
      <c r="BB686">
        <v>1</v>
      </c>
      <c r="BC686" t="s">
        <v>70</v>
      </c>
      <c r="BD686">
        <v>0.61299999999999999</v>
      </c>
      <c r="BE686">
        <v>0.29699999999999999</v>
      </c>
      <c r="BF686" t="s">
        <v>71</v>
      </c>
      <c r="BG686">
        <v>0.108033240997229</v>
      </c>
      <c r="BI686">
        <v>31</v>
      </c>
      <c r="BJ686">
        <v>6.0699999999999997E-2</v>
      </c>
      <c r="BK686">
        <v>0.108033240997229</v>
      </c>
    </row>
    <row r="687" spans="1:63">
      <c r="A687">
        <v>3867</v>
      </c>
      <c r="B687" t="s">
        <v>3831</v>
      </c>
      <c r="D687" t="s">
        <v>66</v>
      </c>
      <c r="E687">
        <v>3907015</v>
      </c>
      <c r="F687">
        <v>3907314</v>
      </c>
      <c r="G687" t="s">
        <v>74</v>
      </c>
      <c r="H687">
        <v>100</v>
      </c>
      <c r="I687" t="s">
        <v>63</v>
      </c>
      <c r="J687">
        <v>5</v>
      </c>
      <c r="K687" t="str">
        <f>HYPERLINK("Gene3867-zp_tree_all.dnd", "Gene3867-tree")</f>
        <v>Gene3867-tree</v>
      </c>
      <c r="L687">
        <v>5</v>
      </c>
      <c r="M687">
        <v>0</v>
      </c>
      <c r="N687">
        <v>4</v>
      </c>
      <c r="O687">
        <v>0</v>
      </c>
      <c r="P687">
        <v>0</v>
      </c>
      <c r="Q687" t="s">
        <v>135</v>
      </c>
      <c r="R687" t="s">
        <v>66</v>
      </c>
      <c r="S687" t="s">
        <v>66</v>
      </c>
      <c r="T687" t="s">
        <v>66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3</v>
      </c>
      <c r="AJ687">
        <v>1</v>
      </c>
      <c r="AK687">
        <v>6</v>
      </c>
      <c r="AL687">
        <v>0</v>
      </c>
      <c r="AM687">
        <v>5</v>
      </c>
      <c r="AN687">
        <v>0</v>
      </c>
      <c r="AO687" t="s">
        <v>68</v>
      </c>
      <c r="AP687" t="s">
        <v>68</v>
      </c>
      <c r="AQ687">
        <v>0</v>
      </c>
      <c r="AR687" t="s">
        <v>69</v>
      </c>
      <c r="AS687">
        <v>11</v>
      </c>
      <c r="AT687">
        <v>0</v>
      </c>
      <c r="AU687">
        <v>2.0559999999999998E-2</v>
      </c>
      <c r="AV687">
        <v>-3.8E-3</v>
      </c>
      <c r="AW687">
        <v>9.7549999999999998E-2</v>
      </c>
      <c r="AX687">
        <v>-1.8519999999999998E-2</v>
      </c>
      <c r="AY687">
        <v>0</v>
      </c>
      <c r="AZ687">
        <v>0</v>
      </c>
      <c r="BA687">
        <v>0</v>
      </c>
      <c r="BB687">
        <v>1</v>
      </c>
      <c r="BC687" t="s">
        <v>70</v>
      </c>
      <c r="BD687">
        <v>0.745</v>
      </c>
      <c r="BE687">
        <v>0</v>
      </c>
      <c r="BF687" t="s">
        <v>71</v>
      </c>
      <c r="BG687">
        <v>0.22077922077921999</v>
      </c>
      <c r="BI687">
        <v>11</v>
      </c>
      <c r="BJ687">
        <v>0</v>
      </c>
      <c r="BK687">
        <v>0.22077922077921999</v>
      </c>
    </row>
    <row r="688" spans="1:63">
      <c r="A688">
        <v>3873</v>
      </c>
      <c r="B688" t="s">
        <v>3836</v>
      </c>
      <c r="D688" t="s">
        <v>66</v>
      </c>
      <c r="E688">
        <v>3914318</v>
      </c>
      <c r="F688">
        <v>3914689</v>
      </c>
      <c r="G688" t="s">
        <v>3838</v>
      </c>
      <c r="H688">
        <v>124</v>
      </c>
      <c r="I688" t="s">
        <v>63</v>
      </c>
      <c r="J688">
        <v>5</v>
      </c>
      <c r="K688" t="str">
        <f>HYPERLINK("Gene3873-zp_tree_all.dnd", "Gene3873-tree")</f>
        <v>Gene3873-tree</v>
      </c>
      <c r="L688">
        <v>5</v>
      </c>
      <c r="M688">
        <v>0</v>
      </c>
      <c r="N688">
        <v>4</v>
      </c>
      <c r="O688">
        <v>0</v>
      </c>
      <c r="P688">
        <v>0</v>
      </c>
      <c r="Q688" t="s">
        <v>135</v>
      </c>
      <c r="R688" t="s">
        <v>66</v>
      </c>
      <c r="S688" t="s">
        <v>66</v>
      </c>
      <c r="T688" t="s">
        <v>66</v>
      </c>
      <c r="U688">
        <v>0</v>
      </c>
      <c r="V688">
        <v>0</v>
      </c>
      <c r="W688">
        <v>2</v>
      </c>
      <c r="X688">
        <v>0</v>
      </c>
      <c r="Y688">
        <v>0</v>
      </c>
      <c r="Z688">
        <v>0</v>
      </c>
      <c r="AA688">
        <v>0</v>
      </c>
      <c r="AB688">
        <v>2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3</v>
      </c>
      <c r="AJ688">
        <v>1</v>
      </c>
      <c r="AK688">
        <v>6</v>
      </c>
      <c r="AL688">
        <v>0</v>
      </c>
      <c r="AM688">
        <v>9</v>
      </c>
      <c r="AN688">
        <v>4</v>
      </c>
      <c r="AO688" t="s">
        <v>68</v>
      </c>
      <c r="AP688" t="s">
        <v>3839</v>
      </c>
      <c r="AQ688">
        <v>0</v>
      </c>
      <c r="AR688" t="s">
        <v>69</v>
      </c>
      <c r="AS688">
        <v>15</v>
      </c>
      <c r="AT688">
        <v>4</v>
      </c>
      <c r="AU688">
        <v>3.1359999999999999E-2</v>
      </c>
      <c r="AV688">
        <v>-6.8700000000000002E-3</v>
      </c>
      <c r="AW688">
        <v>0.11778</v>
      </c>
      <c r="AX688">
        <v>-2.4320000000000001E-2</v>
      </c>
      <c r="AY688">
        <v>9.3500000000000007E-3</v>
      </c>
      <c r="AZ688">
        <v>-2.2000000000000001E-3</v>
      </c>
      <c r="BA688">
        <v>7.9399999999999998E-2</v>
      </c>
      <c r="BB688">
        <v>1</v>
      </c>
      <c r="BC688" t="s">
        <v>70</v>
      </c>
      <c r="BD688">
        <v>0.874</v>
      </c>
      <c r="BE688">
        <v>0.874</v>
      </c>
      <c r="BF688" t="s">
        <v>71</v>
      </c>
      <c r="BG688">
        <v>-4.4444444444444398E-2</v>
      </c>
      <c r="BI688">
        <v>19</v>
      </c>
      <c r="BJ688">
        <v>7.9399999999999998E-2</v>
      </c>
      <c r="BK688">
        <v>-4.4444444444444398E-2</v>
      </c>
    </row>
    <row r="689" spans="1:63">
      <c r="A689">
        <v>3874</v>
      </c>
      <c r="B689" t="s">
        <v>3840</v>
      </c>
      <c r="D689" t="s">
        <v>66</v>
      </c>
      <c r="E689">
        <v>3914694</v>
      </c>
      <c r="F689">
        <v>3915305</v>
      </c>
      <c r="G689" t="s">
        <v>3842</v>
      </c>
      <c r="H689">
        <v>204</v>
      </c>
      <c r="I689" t="s">
        <v>63</v>
      </c>
      <c r="J689">
        <v>5</v>
      </c>
      <c r="K689" t="str">
        <f>HYPERLINK("Gene3874-zp_tree_all.dnd", "Gene3874-tree")</f>
        <v>Gene3874-tree</v>
      </c>
      <c r="L689">
        <v>4</v>
      </c>
      <c r="M689">
        <v>1</v>
      </c>
      <c r="N689">
        <v>4</v>
      </c>
      <c r="O689">
        <v>1</v>
      </c>
      <c r="P689">
        <v>0.2</v>
      </c>
      <c r="Q689" t="s">
        <v>64</v>
      </c>
      <c r="R689" t="s">
        <v>65</v>
      </c>
      <c r="S689" t="s">
        <v>66</v>
      </c>
      <c r="T689" t="s">
        <v>66</v>
      </c>
      <c r="U689">
        <v>0</v>
      </c>
      <c r="V689">
        <v>0</v>
      </c>
      <c r="W689">
        <v>4</v>
      </c>
      <c r="X689">
        <v>0</v>
      </c>
      <c r="Y689">
        <v>0</v>
      </c>
      <c r="Z689">
        <v>0</v>
      </c>
      <c r="AA689">
        <v>0</v>
      </c>
      <c r="AB689">
        <v>3</v>
      </c>
      <c r="AC689">
        <v>0</v>
      </c>
      <c r="AD689">
        <v>0</v>
      </c>
      <c r="AE689">
        <v>0</v>
      </c>
      <c r="AF689">
        <v>0</v>
      </c>
      <c r="AG689">
        <v>1</v>
      </c>
      <c r="AH689">
        <v>0</v>
      </c>
      <c r="AI689">
        <v>4</v>
      </c>
      <c r="AJ689">
        <v>2</v>
      </c>
      <c r="AK689">
        <v>7</v>
      </c>
      <c r="AL689">
        <v>1</v>
      </c>
      <c r="AM689">
        <v>9</v>
      </c>
      <c r="AN689">
        <v>3</v>
      </c>
      <c r="AO689" t="s">
        <v>3843</v>
      </c>
      <c r="AP689" t="s">
        <v>3844</v>
      </c>
      <c r="AQ689">
        <v>0.42399999999999999</v>
      </c>
      <c r="AR689" t="s">
        <v>69</v>
      </c>
      <c r="AS689">
        <v>16</v>
      </c>
      <c r="AT689">
        <v>4</v>
      </c>
      <c r="AU689">
        <v>1.6830000000000001E-2</v>
      </c>
      <c r="AV689">
        <v>-3.0300000000000001E-3</v>
      </c>
      <c r="AW689">
        <v>5.9839999999999997E-2</v>
      </c>
      <c r="AX689">
        <v>-1.014E-2</v>
      </c>
      <c r="AY689">
        <v>4.7099999999999998E-3</v>
      </c>
      <c r="AZ689">
        <v>-1.1199999999999999E-3</v>
      </c>
      <c r="BA689">
        <v>7.8670000000000004E-2</v>
      </c>
      <c r="BB689">
        <v>1</v>
      </c>
      <c r="BC689" t="s">
        <v>70</v>
      </c>
      <c r="BD689">
        <v>0.95499999999999996</v>
      </c>
      <c r="BE689">
        <v>0.55000000000000004</v>
      </c>
      <c r="BF689" t="s">
        <v>71</v>
      </c>
      <c r="BG689">
        <v>6.3670411985018702E-2</v>
      </c>
      <c r="BI689">
        <v>20</v>
      </c>
      <c r="BJ689">
        <v>7.8670000000000004E-2</v>
      </c>
      <c r="BK689">
        <v>6.3670411985018702E-2</v>
      </c>
    </row>
    <row r="690" spans="1:63">
      <c r="A690">
        <v>3875</v>
      </c>
      <c r="B690" t="s">
        <v>3845</v>
      </c>
      <c r="D690" t="s">
        <v>66</v>
      </c>
      <c r="E690">
        <v>3915322</v>
      </c>
      <c r="F690">
        <v>3917268</v>
      </c>
      <c r="G690" t="s">
        <v>3847</v>
      </c>
      <c r="H690">
        <v>649</v>
      </c>
      <c r="I690" t="s">
        <v>63</v>
      </c>
      <c r="J690">
        <v>5</v>
      </c>
      <c r="K690" t="str">
        <f>HYPERLINK("Gene3875-zp_tree_all.dnd", "Gene3875-tree")</f>
        <v>Gene3875-tree</v>
      </c>
      <c r="L690">
        <v>4</v>
      </c>
      <c r="M690">
        <v>1</v>
      </c>
      <c r="N690">
        <v>4</v>
      </c>
      <c r="O690">
        <v>1</v>
      </c>
      <c r="P690">
        <v>0.2</v>
      </c>
      <c r="Q690" t="s">
        <v>64</v>
      </c>
      <c r="R690" t="s">
        <v>65</v>
      </c>
      <c r="S690" t="s">
        <v>66</v>
      </c>
      <c r="T690" t="s">
        <v>66</v>
      </c>
      <c r="U690">
        <v>0</v>
      </c>
      <c r="V690">
        <v>0</v>
      </c>
      <c r="W690">
        <v>7</v>
      </c>
      <c r="X690">
        <v>0</v>
      </c>
      <c r="Y690">
        <v>0</v>
      </c>
      <c r="Z690">
        <v>0</v>
      </c>
      <c r="AA690">
        <v>0</v>
      </c>
      <c r="AB690">
        <v>5</v>
      </c>
      <c r="AC690">
        <v>0</v>
      </c>
      <c r="AD690">
        <v>0</v>
      </c>
      <c r="AE690">
        <v>0</v>
      </c>
      <c r="AF690">
        <v>0</v>
      </c>
      <c r="AG690">
        <v>2</v>
      </c>
      <c r="AH690">
        <v>0</v>
      </c>
      <c r="AI690">
        <v>5</v>
      </c>
      <c r="AJ690">
        <v>2</v>
      </c>
      <c r="AK690">
        <v>36</v>
      </c>
      <c r="AL690">
        <v>2</v>
      </c>
      <c r="AM690">
        <v>59</v>
      </c>
      <c r="AN690">
        <v>5</v>
      </c>
      <c r="AO690" t="s">
        <v>3848</v>
      </c>
      <c r="AP690" t="s">
        <v>3849</v>
      </c>
      <c r="AQ690">
        <v>0.155</v>
      </c>
      <c r="AR690" t="s">
        <v>69</v>
      </c>
      <c r="AS690">
        <v>95</v>
      </c>
      <c r="AT690">
        <v>7</v>
      </c>
      <c r="AU690">
        <v>2.6859999999999998E-2</v>
      </c>
      <c r="AV690">
        <v>-5.1900000000000002E-3</v>
      </c>
      <c r="AW690">
        <v>0.12381</v>
      </c>
      <c r="AX690">
        <v>-2.427E-2</v>
      </c>
      <c r="AY690">
        <v>2.5200000000000001E-3</v>
      </c>
      <c r="AZ690">
        <v>-5.9999999999999995E-4</v>
      </c>
      <c r="BA690">
        <v>2.0389999999999998E-2</v>
      </c>
      <c r="BB690">
        <v>1</v>
      </c>
      <c r="BC690" t="s">
        <v>70</v>
      </c>
      <c r="BD690">
        <v>0.93700000000000006</v>
      </c>
      <c r="BE690">
        <v>0.79</v>
      </c>
      <c r="BF690" t="s">
        <v>71</v>
      </c>
      <c r="BG690">
        <v>1.0625737898465101E-2</v>
      </c>
      <c r="BI690">
        <v>102</v>
      </c>
      <c r="BJ690">
        <v>2.0389999999999998E-2</v>
      </c>
      <c r="BK690">
        <v>1.0625737898465101E-2</v>
      </c>
    </row>
    <row r="691" spans="1:63">
      <c r="A691">
        <v>3876</v>
      </c>
      <c r="B691" t="s">
        <v>3850</v>
      </c>
      <c r="D691" t="s">
        <v>66</v>
      </c>
      <c r="E691">
        <v>3917299</v>
      </c>
      <c r="F691">
        <v>3918261</v>
      </c>
      <c r="G691" t="s">
        <v>3852</v>
      </c>
      <c r="H691">
        <v>321</v>
      </c>
      <c r="I691" t="s">
        <v>63</v>
      </c>
      <c r="J691">
        <v>5</v>
      </c>
      <c r="K691" t="str">
        <f>HYPERLINK("Gene3876-zp_tree_all.dnd", "Gene3876-tree")</f>
        <v>Gene3876-tree</v>
      </c>
      <c r="L691">
        <v>4</v>
      </c>
      <c r="M691">
        <v>1</v>
      </c>
      <c r="N691">
        <v>4</v>
      </c>
      <c r="O691">
        <v>1</v>
      </c>
      <c r="P691">
        <v>0.2</v>
      </c>
      <c r="Q691" t="s">
        <v>64</v>
      </c>
      <c r="R691" t="s">
        <v>65</v>
      </c>
      <c r="S691" t="s">
        <v>66</v>
      </c>
      <c r="T691" t="s">
        <v>66</v>
      </c>
      <c r="U691">
        <v>0</v>
      </c>
      <c r="V691">
        <v>0</v>
      </c>
      <c r="W691">
        <v>6</v>
      </c>
      <c r="X691">
        <v>0</v>
      </c>
      <c r="Y691">
        <v>0</v>
      </c>
      <c r="Z691">
        <v>0</v>
      </c>
      <c r="AA691">
        <v>0</v>
      </c>
      <c r="AB691">
        <v>4</v>
      </c>
      <c r="AC691">
        <v>0</v>
      </c>
      <c r="AD691">
        <v>0</v>
      </c>
      <c r="AE691">
        <v>0</v>
      </c>
      <c r="AF691">
        <v>0</v>
      </c>
      <c r="AG691">
        <v>2</v>
      </c>
      <c r="AH691">
        <v>0</v>
      </c>
      <c r="AI691">
        <v>4</v>
      </c>
      <c r="AJ691">
        <v>2</v>
      </c>
      <c r="AK691">
        <v>19</v>
      </c>
      <c r="AL691">
        <v>2</v>
      </c>
      <c r="AM691">
        <v>25</v>
      </c>
      <c r="AN691">
        <v>4</v>
      </c>
      <c r="AO691" t="s">
        <v>3853</v>
      </c>
      <c r="AP691" t="s">
        <v>3854</v>
      </c>
      <c r="AQ691">
        <v>0.17100000000000001</v>
      </c>
      <c r="AR691" t="s">
        <v>69</v>
      </c>
      <c r="AS691">
        <v>44</v>
      </c>
      <c r="AT691">
        <v>6</v>
      </c>
      <c r="AU691">
        <v>2.6270000000000002E-2</v>
      </c>
      <c r="AV691">
        <v>-5.2700000000000004E-3</v>
      </c>
      <c r="AW691">
        <v>0.11210000000000001</v>
      </c>
      <c r="AX691">
        <v>-2.2419999999999999E-2</v>
      </c>
      <c r="AY691">
        <v>4.3200000000000001E-3</v>
      </c>
      <c r="AZ691">
        <v>-1.0200000000000001E-3</v>
      </c>
      <c r="BA691">
        <v>3.8510000000000003E-2</v>
      </c>
      <c r="BB691">
        <v>1</v>
      </c>
      <c r="BC691" t="s">
        <v>70</v>
      </c>
      <c r="BD691">
        <v>0.74</v>
      </c>
      <c r="BE691">
        <v>0.44500000000000001</v>
      </c>
      <c r="BF691" t="s">
        <v>71</v>
      </c>
      <c r="BG691">
        <v>6.1728395061728301E-2</v>
      </c>
      <c r="BI691">
        <v>50</v>
      </c>
      <c r="BJ691">
        <v>3.8510000000000003E-2</v>
      </c>
      <c r="BK691">
        <v>6.1728395061728301E-2</v>
      </c>
    </row>
    <row r="692" spans="1:63">
      <c r="A692">
        <v>3893</v>
      </c>
      <c r="B692" t="s">
        <v>3860</v>
      </c>
      <c r="D692" t="s">
        <v>60</v>
      </c>
      <c r="E692">
        <v>3933577</v>
      </c>
      <c r="F692">
        <v>3934251</v>
      </c>
      <c r="G692" t="s">
        <v>74</v>
      </c>
      <c r="H692">
        <v>225</v>
      </c>
      <c r="I692" t="s">
        <v>63</v>
      </c>
      <c r="J692">
        <v>5</v>
      </c>
      <c r="K692" t="str">
        <f>HYPERLINK("Gene3893-zp_tree_all.dnd", "Gene3893-tree")</f>
        <v>Gene3893-tree</v>
      </c>
      <c r="L692">
        <v>1</v>
      </c>
      <c r="M692">
        <v>4</v>
      </c>
      <c r="N692">
        <v>1</v>
      </c>
      <c r="O692">
        <v>4</v>
      </c>
      <c r="P692">
        <v>0.8</v>
      </c>
      <c r="Q692" t="s">
        <v>65</v>
      </c>
      <c r="R692" t="s">
        <v>64</v>
      </c>
      <c r="S692" t="s">
        <v>66</v>
      </c>
      <c r="T692" t="s">
        <v>66</v>
      </c>
      <c r="U692">
        <v>1</v>
      </c>
      <c r="V692">
        <v>3</v>
      </c>
      <c r="W692">
        <v>3</v>
      </c>
      <c r="X692">
        <v>0.5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3</v>
      </c>
      <c r="AE692">
        <v>0</v>
      </c>
      <c r="AF692">
        <v>3</v>
      </c>
      <c r="AG692">
        <v>3</v>
      </c>
      <c r="AH692">
        <v>0.5</v>
      </c>
      <c r="AI692">
        <v>5</v>
      </c>
      <c r="AJ692">
        <v>2</v>
      </c>
      <c r="AK692">
        <v>29</v>
      </c>
      <c r="AL692">
        <v>6</v>
      </c>
      <c r="AM692">
        <v>16</v>
      </c>
      <c r="AN692">
        <v>1</v>
      </c>
      <c r="AO692" t="s">
        <v>3862</v>
      </c>
      <c r="AP692" t="s">
        <v>3863</v>
      </c>
      <c r="AQ692">
        <v>1.5660000000000001</v>
      </c>
      <c r="AR692" t="s">
        <v>69</v>
      </c>
      <c r="AS692">
        <v>45</v>
      </c>
      <c r="AT692">
        <v>7</v>
      </c>
      <c r="AU692">
        <v>3.3779999999999998E-2</v>
      </c>
      <c r="AV692">
        <v>-3.2799999999999999E-3</v>
      </c>
      <c r="AW692">
        <v>0.12297</v>
      </c>
      <c r="AX692">
        <v>-1.256E-2</v>
      </c>
      <c r="AY692">
        <v>5.2700000000000004E-3</v>
      </c>
      <c r="AZ692">
        <v>-9.6000000000000002E-4</v>
      </c>
      <c r="BA692">
        <v>4.2869999999999998E-2</v>
      </c>
      <c r="BB692">
        <v>1</v>
      </c>
      <c r="BC692" t="s">
        <v>70</v>
      </c>
      <c r="BD692">
        <v>0.246</v>
      </c>
      <c r="BE692">
        <v>-9.6000000000000002E-2</v>
      </c>
      <c r="BF692" t="s">
        <v>71</v>
      </c>
      <c r="BG692">
        <v>-4.4247787610619399E-2</v>
      </c>
      <c r="BI692">
        <v>52</v>
      </c>
      <c r="BJ692">
        <v>4.2869999999999998E-2</v>
      </c>
      <c r="BK692">
        <v>-4.4247787610619399E-2</v>
      </c>
    </row>
    <row r="693" spans="1:63">
      <c r="A693">
        <v>3908</v>
      </c>
      <c r="B693" t="s">
        <v>3869</v>
      </c>
      <c r="D693" t="s">
        <v>66</v>
      </c>
      <c r="E693">
        <v>3949955</v>
      </c>
      <c r="F693">
        <v>3950584</v>
      </c>
      <c r="G693" t="s">
        <v>3871</v>
      </c>
      <c r="H693">
        <v>210</v>
      </c>
      <c r="I693" t="s">
        <v>106</v>
      </c>
      <c r="J693">
        <v>4</v>
      </c>
      <c r="K693" t="str">
        <f>HYPERLINK("Gene3908-zp_tree_all.dnd", "Gene3908-tree")</f>
        <v>Gene3908-tree</v>
      </c>
      <c r="L693">
        <v>3</v>
      </c>
      <c r="M693">
        <v>1</v>
      </c>
      <c r="N693">
        <v>3</v>
      </c>
      <c r="O693">
        <v>1</v>
      </c>
      <c r="P693">
        <v>0.25</v>
      </c>
      <c r="Q693" t="s">
        <v>86</v>
      </c>
      <c r="R693" t="s">
        <v>65</v>
      </c>
      <c r="S693" t="s">
        <v>66</v>
      </c>
      <c r="T693" t="s">
        <v>66</v>
      </c>
      <c r="U693">
        <v>0</v>
      </c>
      <c r="V693">
        <v>0</v>
      </c>
      <c r="W693">
        <v>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1</v>
      </c>
      <c r="AH693">
        <v>0</v>
      </c>
      <c r="AI693">
        <v>4</v>
      </c>
      <c r="AJ693">
        <v>1</v>
      </c>
      <c r="AK693">
        <v>31</v>
      </c>
      <c r="AL693">
        <v>2</v>
      </c>
      <c r="AM693">
        <v>1</v>
      </c>
      <c r="AN693">
        <v>0</v>
      </c>
      <c r="AO693" t="s">
        <v>3872</v>
      </c>
      <c r="AP693" t="s">
        <v>68</v>
      </c>
      <c r="AQ693">
        <v>0.41899999999999998</v>
      </c>
      <c r="AR693" t="s">
        <v>69</v>
      </c>
      <c r="AS693">
        <v>32</v>
      </c>
      <c r="AT693">
        <v>2</v>
      </c>
      <c r="AU693">
        <v>2.6720000000000001E-2</v>
      </c>
      <c r="AV693">
        <v>-7.8899999999999994E-3</v>
      </c>
      <c r="AW693">
        <v>0.14285999999999999</v>
      </c>
      <c r="AX693">
        <v>-4.3040000000000002E-2</v>
      </c>
      <c r="AY693">
        <v>2E-3</v>
      </c>
      <c r="AZ693">
        <v>-8.1999999999999998E-4</v>
      </c>
      <c r="BA693">
        <v>1.397E-2</v>
      </c>
      <c r="BB693">
        <v>1</v>
      </c>
      <c r="BC693" t="s">
        <v>70</v>
      </c>
      <c r="BD693">
        <v>-0.36799999999999999</v>
      </c>
      <c r="BE693">
        <v>-0.96099999999999997</v>
      </c>
      <c r="BF693" t="s">
        <v>71</v>
      </c>
      <c r="BG693">
        <v>0.13934426229508101</v>
      </c>
      <c r="BI693">
        <v>34</v>
      </c>
      <c r="BJ693">
        <v>1.397E-2</v>
      </c>
      <c r="BK693">
        <v>0.13934426229508101</v>
      </c>
    </row>
    <row r="694" spans="1:63">
      <c r="A694">
        <v>3909</v>
      </c>
      <c r="B694" t="s">
        <v>3873</v>
      </c>
      <c r="D694" t="s">
        <v>66</v>
      </c>
      <c r="E694">
        <v>3950729</v>
      </c>
      <c r="F694">
        <v>3951661</v>
      </c>
      <c r="G694" t="s">
        <v>3875</v>
      </c>
      <c r="H694">
        <v>311</v>
      </c>
      <c r="I694" t="s">
        <v>63</v>
      </c>
      <c r="J694">
        <v>5</v>
      </c>
      <c r="K694" t="str">
        <f>HYPERLINK("Gene3909-zp_tree_all.dnd", "Gene3909-tree")</f>
        <v>Gene3909-tree</v>
      </c>
      <c r="L694">
        <v>3</v>
      </c>
      <c r="M694">
        <v>2</v>
      </c>
      <c r="N694">
        <v>3</v>
      </c>
      <c r="O694">
        <v>2</v>
      </c>
      <c r="P694">
        <v>0.4</v>
      </c>
      <c r="Q694" t="s">
        <v>86</v>
      </c>
      <c r="R694" t="s">
        <v>124</v>
      </c>
      <c r="S694" t="s">
        <v>66</v>
      </c>
      <c r="T694" t="s">
        <v>66</v>
      </c>
      <c r="U694">
        <v>1</v>
      </c>
      <c r="V694">
        <v>2</v>
      </c>
      <c r="W694">
        <v>4</v>
      </c>
      <c r="X694">
        <v>0.33333000000000002</v>
      </c>
      <c r="Y694">
        <v>0</v>
      </c>
      <c r="Z694">
        <v>0</v>
      </c>
      <c r="AA694">
        <v>0</v>
      </c>
      <c r="AB694">
        <v>3</v>
      </c>
      <c r="AC694">
        <v>0</v>
      </c>
      <c r="AD694">
        <v>0</v>
      </c>
      <c r="AE694">
        <v>0</v>
      </c>
      <c r="AF694">
        <v>0</v>
      </c>
      <c r="AG694">
        <v>3</v>
      </c>
      <c r="AH694">
        <v>0</v>
      </c>
      <c r="AI694">
        <v>5</v>
      </c>
      <c r="AJ694">
        <v>2</v>
      </c>
      <c r="AK694">
        <v>40</v>
      </c>
      <c r="AL694">
        <v>3</v>
      </c>
      <c r="AM694">
        <v>18</v>
      </c>
      <c r="AN694">
        <v>3</v>
      </c>
      <c r="AO694" t="s">
        <v>3876</v>
      </c>
      <c r="AP694" t="s">
        <v>3877</v>
      </c>
      <c r="AQ694">
        <v>0.85299999999999998</v>
      </c>
      <c r="AR694" t="s">
        <v>69</v>
      </c>
      <c r="AS694">
        <v>58</v>
      </c>
      <c r="AT694">
        <v>6</v>
      </c>
      <c r="AU694">
        <v>2.9049999999999999E-2</v>
      </c>
      <c r="AV694">
        <v>-3.0000000000000001E-3</v>
      </c>
      <c r="AW694">
        <v>0.11635</v>
      </c>
      <c r="AX694">
        <v>-1.243E-2</v>
      </c>
      <c r="AY694">
        <v>4.2599999999999999E-3</v>
      </c>
      <c r="AZ694">
        <v>-6.9999999999999999E-4</v>
      </c>
      <c r="BA694">
        <v>3.6569999999999998E-2</v>
      </c>
      <c r="BB694">
        <v>1</v>
      </c>
      <c r="BC694" t="s">
        <v>70</v>
      </c>
      <c r="BD694">
        <v>0.49299999999999999</v>
      </c>
      <c r="BE694">
        <v>-0.309</v>
      </c>
      <c r="BF694" t="s">
        <v>71</v>
      </c>
      <c r="BG694">
        <v>9.6629213483146001E-2</v>
      </c>
      <c r="BI694">
        <v>64</v>
      </c>
      <c r="BJ694">
        <v>3.6569999999999998E-2</v>
      </c>
      <c r="BK694">
        <v>9.6629213483146001E-2</v>
      </c>
    </row>
    <row r="695" spans="1:63">
      <c r="A695">
        <v>3918</v>
      </c>
      <c r="B695" t="s">
        <v>3896</v>
      </c>
      <c r="D695" t="s">
        <v>66</v>
      </c>
      <c r="E695">
        <v>3959844</v>
      </c>
      <c r="F695">
        <v>3960173</v>
      </c>
      <c r="G695" t="s">
        <v>3898</v>
      </c>
      <c r="H695">
        <v>110</v>
      </c>
      <c r="I695" t="s">
        <v>85</v>
      </c>
      <c r="J695">
        <v>4</v>
      </c>
      <c r="K695" t="str">
        <f>HYPERLINK("Gene3918-zp_tree_all.dnd", "Gene3918-tree")</f>
        <v>Gene3918-tree</v>
      </c>
      <c r="L695">
        <v>0</v>
      </c>
      <c r="M695">
        <v>4</v>
      </c>
      <c r="N695">
        <v>0</v>
      </c>
      <c r="O695">
        <v>4</v>
      </c>
      <c r="P695">
        <v>1</v>
      </c>
      <c r="Q695" t="s">
        <v>66</v>
      </c>
      <c r="R695" t="s">
        <v>64</v>
      </c>
      <c r="S695" t="s">
        <v>66</v>
      </c>
      <c r="T695" t="s">
        <v>66</v>
      </c>
      <c r="U695">
        <v>0</v>
      </c>
      <c r="V695">
        <v>0</v>
      </c>
      <c r="W695">
        <v>4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4</v>
      </c>
      <c r="AH695">
        <v>0</v>
      </c>
      <c r="AI695">
        <v>3</v>
      </c>
      <c r="AJ695">
        <v>0</v>
      </c>
      <c r="AK695">
        <v>17</v>
      </c>
      <c r="AL695">
        <v>4</v>
      </c>
      <c r="AM695">
        <v>0</v>
      </c>
      <c r="AN695">
        <v>0</v>
      </c>
      <c r="AO695" t="s">
        <v>3899</v>
      </c>
      <c r="AP695" t="s">
        <v>68</v>
      </c>
      <c r="AQ695">
        <v>1.333</v>
      </c>
      <c r="AR695" t="s">
        <v>69</v>
      </c>
      <c r="AS695">
        <v>17</v>
      </c>
      <c r="AT695">
        <v>4</v>
      </c>
      <c r="AU695">
        <v>3.1820000000000001E-2</v>
      </c>
      <c r="AV695">
        <v>-8.9999999999999993E-3</v>
      </c>
      <c r="AW695">
        <v>0.14682999999999999</v>
      </c>
      <c r="AX695">
        <v>-4.7969999999999999E-2</v>
      </c>
      <c r="AY695">
        <v>7.6699999999999997E-3</v>
      </c>
      <c r="AZ695">
        <v>-1.2800000000000001E-3</v>
      </c>
      <c r="BA695">
        <v>5.2220000000000003E-2</v>
      </c>
      <c r="BB695">
        <v>1</v>
      </c>
      <c r="BC695" t="s">
        <v>70</v>
      </c>
      <c r="BD695">
        <v>-0.85499999999999998</v>
      </c>
      <c r="BE695">
        <v>-0.85499999999999998</v>
      </c>
      <c r="BF695" t="s">
        <v>71</v>
      </c>
      <c r="BG695">
        <v>0.205298013245033</v>
      </c>
      <c r="BI695">
        <v>21</v>
      </c>
      <c r="BJ695">
        <v>5.2220000000000003E-2</v>
      </c>
      <c r="BK695">
        <v>0.205298013245033</v>
      </c>
    </row>
    <row r="696" spans="1:63">
      <c r="A696">
        <v>3920</v>
      </c>
      <c r="B696" t="s">
        <v>3900</v>
      </c>
      <c r="D696" t="s">
        <v>66</v>
      </c>
      <c r="E696">
        <v>3961569</v>
      </c>
      <c r="F696">
        <v>3961874</v>
      </c>
      <c r="G696" t="s">
        <v>3902</v>
      </c>
      <c r="H696">
        <v>102</v>
      </c>
      <c r="I696" t="s">
        <v>63</v>
      </c>
      <c r="J696">
        <v>5</v>
      </c>
      <c r="K696" t="str">
        <f>HYPERLINK("Gene3920-zp_tree_all.dnd", "Gene3920-tree")</f>
        <v>Gene3920-tree</v>
      </c>
      <c r="L696">
        <v>4</v>
      </c>
      <c r="M696">
        <v>1</v>
      </c>
      <c r="N696">
        <v>4</v>
      </c>
      <c r="O696">
        <v>1</v>
      </c>
      <c r="P696">
        <v>0.2</v>
      </c>
      <c r="Q696" t="s">
        <v>64</v>
      </c>
      <c r="R696" t="s">
        <v>65</v>
      </c>
      <c r="S696" t="s">
        <v>66</v>
      </c>
      <c r="T696" t="s">
        <v>66</v>
      </c>
      <c r="U696">
        <v>0</v>
      </c>
      <c r="V696">
        <v>0</v>
      </c>
      <c r="W696">
        <v>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</v>
      </c>
      <c r="AH696">
        <v>0</v>
      </c>
      <c r="AI696">
        <v>3</v>
      </c>
      <c r="AJ696">
        <v>2</v>
      </c>
      <c r="AK696">
        <v>13</v>
      </c>
      <c r="AL696">
        <v>1</v>
      </c>
      <c r="AM696">
        <v>7</v>
      </c>
      <c r="AN696">
        <v>0</v>
      </c>
      <c r="AO696" t="s">
        <v>3903</v>
      </c>
      <c r="AP696" t="s">
        <v>68</v>
      </c>
      <c r="AQ696">
        <v>0.73899999999999999</v>
      </c>
      <c r="AR696" t="s">
        <v>69</v>
      </c>
      <c r="AS696">
        <v>20</v>
      </c>
      <c r="AT696">
        <v>1</v>
      </c>
      <c r="AU696">
        <v>3.0720000000000001E-2</v>
      </c>
      <c r="AV696">
        <v>-5.4900000000000001E-3</v>
      </c>
      <c r="AW696">
        <v>0.14380000000000001</v>
      </c>
      <c r="AX696">
        <v>-2.6069999999999999E-2</v>
      </c>
      <c r="AY696">
        <v>1.7099999999999999E-3</v>
      </c>
      <c r="AZ696">
        <v>-6.6E-4</v>
      </c>
      <c r="BA696">
        <v>1.1860000000000001E-2</v>
      </c>
      <c r="BB696">
        <v>1</v>
      </c>
      <c r="BC696" t="s">
        <v>70</v>
      </c>
      <c r="BD696">
        <v>-0.154</v>
      </c>
      <c r="BE696">
        <v>-0.154</v>
      </c>
      <c r="BF696" t="s">
        <v>71</v>
      </c>
      <c r="BG696">
        <v>0.17142857142857101</v>
      </c>
      <c r="BI696">
        <v>21</v>
      </c>
      <c r="BJ696">
        <v>1.1860000000000001E-2</v>
      </c>
      <c r="BK696">
        <v>0.17142857142857101</v>
      </c>
    </row>
    <row r="697" spans="1:63">
      <c r="A697">
        <v>3928</v>
      </c>
      <c r="B697" t="s">
        <v>3906</v>
      </c>
      <c r="D697" t="s">
        <v>66</v>
      </c>
      <c r="E697">
        <v>3969614</v>
      </c>
      <c r="F697">
        <v>3969799</v>
      </c>
      <c r="G697" t="s">
        <v>3908</v>
      </c>
      <c r="H697">
        <v>62</v>
      </c>
      <c r="I697" t="s">
        <v>106</v>
      </c>
      <c r="J697">
        <v>4</v>
      </c>
      <c r="K697" t="str">
        <f>HYPERLINK("Gene3928-zp_tree_all.dnd", "Gene3928-tree")</f>
        <v>Gene3928-tree</v>
      </c>
      <c r="L697">
        <v>2</v>
      </c>
      <c r="M697">
        <v>2</v>
      </c>
      <c r="N697">
        <v>2</v>
      </c>
      <c r="O697">
        <v>2</v>
      </c>
      <c r="P697">
        <v>0.5</v>
      </c>
      <c r="Q697" t="s">
        <v>124</v>
      </c>
      <c r="R697" t="s">
        <v>124</v>
      </c>
      <c r="S697" t="s">
        <v>66</v>
      </c>
      <c r="T697" t="s">
        <v>66</v>
      </c>
      <c r="U697">
        <v>0</v>
      </c>
      <c r="V697">
        <v>0</v>
      </c>
      <c r="W697">
        <v>2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2</v>
      </c>
      <c r="AH697">
        <v>0</v>
      </c>
      <c r="AI697">
        <v>4</v>
      </c>
      <c r="AJ697">
        <v>1</v>
      </c>
      <c r="AK697">
        <v>6</v>
      </c>
      <c r="AL697">
        <v>2</v>
      </c>
      <c r="AM697">
        <v>3</v>
      </c>
      <c r="AN697">
        <v>0</v>
      </c>
      <c r="AO697" t="s">
        <v>3909</v>
      </c>
      <c r="AP697" t="s">
        <v>68</v>
      </c>
      <c r="AQ697">
        <v>0.97599999999999998</v>
      </c>
      <c r="AR697" t="s">
        <v>69</v>
      </c>
      <c r="AS697">
        <v>9</v>
      </c>
      <c r="AT697">
        <v>2</v>
      </c>
      <c r="AU697">
        <v>2.8670000000000001E-2</v>
      </c>
      <c r="AV697">
        <v>-5.0200000000000002E-3</v>
      </c>
      <c r="AW697">
        <v>0.12063</v>
      </c>
      <c r="AX697">
        <v>-2.5590000000000002E-2</v>
      </c>
      <c r="AY697">
        <v>6.8799999999999998E-3</v>
      </c>
      <c r="AZ697">
        <v>-1.6299999999999999E-3</v>
      </c>
      <c r="BA697">
        <v>5.7000000000000002E-2</v>
      </c>
      <c r="BB697">
        <v>1</v>
      </c>
      <c r="BC697" t="s">
        <v>70</v>
      </c>
      <c r="BD697">
        <v>0.86</v>
      </c>
      <c r="BE697">
        <v>-0.154</v>
      </c>
      <c r="BF697" t="s">
        <v>71</v>
      </c>
      <c r="BG697">
        <v>0.219512195121951</v>
      </c>
      <c r="BI697">
        <v>11</v>
      </c>
      <c r="BJ697">
        <v>5.7000000000000002E-2</v>
      </c>
      <c r="BK697">
        <v>0.219512195121951</v>
      </c>
    </row>
    <row r="698" spans="1:63">
      <c r="A698">
        <v>3936</v>
      </c>
      <c r="B698" t="s">
        <v>3910</v>
      </c>
      <c r="D698" t="s">
        <v>66</v>
      </c>
      <c r="E698">
        <v>3976794</v>
      </c>
      <c r="F698">
        <v>3977807</v>
      </c>
      <c r="G698" t="s">
        <v>3912</v>
      </c>
      <c r="H698">
        <v>338</v>
      </c>
      <c r="I698" t="s">
        <v>63</v>
      </c>
      <c r="J698">
        <v>5</v>
      </c>
      <c r="K698" t="str">
        <f>HYPERLINK("Gene3936-zp_tree_all.dnd", "Gene3936-tree")</f>
        <v>Gene3936-tree</v>
      </c>
      <c r="L698">
        <v>3</v>
      </c>
      <c r="M698">
        <v>2</v>
      </c>
      <c r="N698">
        <v>3</v>
      </c>
      <c r="O698">
        <v>2</v>
      </c>
      <c r="P698">
        <v>0.4</v>
      </c>
      <c r="Q698" t="s">
        <v>86</v>
      </c>
      <c r="R698" t="s">
        <v>124</v>
      </c>
      <c r="S698" t="s">
        <v>66</v>
      </c>
      <c r="T698" t="s">
        <v>66</v>
      </c>
      <c r="U698">
        <v>1</v>
      </c>
      <c r="V698">
        <v>2</v>
      </c>
      <c r="W698">
        <v>4</v>
      </c>
      <c r="X698">
        <v>0.33333000000000002</v>
      </c>
      <c r="Y698">
        <v>0</v>
      </c>
      <c r="Z698">
        <v>0</v>
      </c>
      <c r="AA698">
        <v>0</v>
      </c>
      <c r="AB698">
        <v>4</v>
      </c>
      <c r="AC698">
        <v>0</v>
      </c>
      <c r="AD698">
        <v>0</v>
      </c>
      <c r="AE698">
        <v>0</v>
      </c>
      <c r="AF698">
        <v>0</v>
      </c>
      <c r="AG698">
        <v>2</v>
      </c>
      <c r="AH698">
        <v>0</v>
      </c>
      <c r="AI698">
        <v>5</v>
      </c>
      <c r="AJ698">
        <v>2</v>
      </c>
      <c r="AK698">
        <v>32</v>
      </c>
      <c r="AL698">
        <v>2</v>
      </c>
      <c r="AM698">
        <v>31</v>
      </c>
      <c r="AN698">
        <v>4</v>
      </c>
      <c r="AO698" t="s">
        <v>3913</v>
      </c>
      <c r="AP698" t="s">
        <v>3914</v>
      </c>
      <c r="AQ698">
        <v>0.69399999999999995</v>
      </c>
      <c r="AR698" t="s">
        <v>69</v>
      </c>
      <c r="AS698">
        <v>63</v>
      </c>
      <c r="AT698">
        <v>6</v>
      </c>
      <c r="AU698">
        <v>3.1660000000000001E-2</v>
      </c>
      <c r="AV698">
        <v>-4.7400000000000003E-3</v>
      </c>
      <c r="AW698">
        <v>0.1336</v>
      </c>
      <c r="AX698">
        <v>-2.0459999999999999E-2</v>
      </c>
      <c r="AY698">
        <v>3.8999999999999998E-3</v>
      </c>
      <c r="AZ698">
        <v>-7.7999999999999999E-4</v>
      </c>
      <c r="BA698">
        <v>2.921E-2</v>
      </c>
      <c r="BB698">
        <v>1</v>
      </c>
      <c r="BC698" t="s">
        <v>70</v>
      </c>
      <c r="BD698">
        <v>0.72899999999999998</v>
      </c>
      <c r="BE698">
        <v>-0.17599999999999999</v>
      </c>
      <c r="BF698" t="s">
        <v>71</v>
      </c>
      <c r="BG698">
        <v>9.6907216494845294E-2</v>
      </c>
      <c r="BI698">
        <v>69</v>
      </c>
      <c r="BJ698">
        <v>2.921E-2</v>
      </c>
      <c r="BK698">
        <v>9.6907216494845294E-2</v>
      </c>
    </row>
    <row r="699" spans="1:63">
      <c r="A699">
        <v>3937</v>
      </c>
      <c r="B699" t="s">
        <v>3915</v>
      </c>
      <c r="D699" t="s">
        <v>66</v>
      </c>
      <c r="E699">
        <v>3977794</v>
      </c>
      <c r="F699">
        <v>3979197</v>
      </c>
      <c r="G699" t="s">
        <v>3917</v>
      </c>
      <c r="H699">
        <v>468</v>
      </c>
      <c r="I699" t="s">
        <v>85</v>
      </c>
      <c r="J699">
        <v>4</v>
      </c>
      <c r="K699" t="str">
        <f>HYPERLINK("Gene3937-zp_tree_all.dnd", "Gene3937-tree")</f>
        <v>Gene3937-tree</v>
      </c>
      <c r="L699">
        <v>2</v>
      </c>
      <c r="M699">
        <v>2</v>
      </c>
      <c r="N699">
        <v>2</v>
      </c>
      <c r="O699">
        <v>2</v>
      </c>
      <c r="P699">
        <v>0.5</v>
      </c>
      <c r="Q699" t="s">
        <v>124</v>
      </c>
      <c r="R699" t="s">
        <v>124</v>
      </c>
      <c r="S699" t="s">
        <v>66</v>
      </c>
      <c r="T699" t="s">
        <v>66</v>
      </c>
      <c r="U699">
        <v>0</v>
      </c>
      <c r="V699">
        <v>0</v>
      </c>
      <c r="W699">
        <v>6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6</v>
      </c>
      <c r="AH699">
        <v>0</v>
      </c>
      <c r="AI699">
        <v>4</v>
      </c>
      <c r="AJ699">
        <v>1</v>
      </c>
      <c r="AK699">
        <v>83</v>
      </c>
      <c r="AL699">
        <v>7</v>
      </c>
      <c r="AM699">
        <v>7</v>
      </c>
      <c r="AN699">
        <v>0</v>
      </c>
      <c r="AO699" t="s">
        <v>3918</v>
      </c>
      <c r="AP699" t="s">
        <v>68</v>
      </c>
      <c r="AQ699">
        <v>0.71699999999999997</v>
      </c>
      <c r="AR699" t="s">
        <v>69</v>
      </c>
      <c r="AS699">
        <v>90</v>
      </c>
      <c r="AT699">
        <v>7</v>
      </c>
      <c r="AU699">
        <v>3.3950000000000001E-2</v>
      </c>
      <c r="AV699">
        <v>-5.9800000000000001E-3</v>
      </c>
      <c r="AW699">
        <v>0.15978000000000001</v>
      </c>
      <c r="AX699">
        <v>-2.861E-2</v>
      </c>
      <c r="AY699">
        <v>3.2200000000000002E-3</v>
      </c>
      <c r="AZ699">
        <v>-1.08E-3</v>
      </c>
      <c r="BA699">
        <v>2.0140000000000002E-2</v>
      </c>
      <c r="BB699">
        <v>1</v>
      </c>
      <c r="BC699" t="s">
        <v>70</v>
      </c>
      <c r="BD699">
        <v>-0.30299999999999999</v>
      </c>
      <c r="BE699">
        <v>-0.623</v>
      </c>
      <c r="BF699" t="s">
        <v>71</v>
      </c>
      <c r="BG699">
        <v>9.1482649842271294E-2</v>
      </c>
      <c r="BI699">
        <v>97</v>
      </c>
      <c r="BJ699">
        <v>2.0140000000000002E-2</v>
      </c>
      <c r="BK699">
        <v>9.1482649842271294E-2</v>
      </c>
    </row>
    <row r="700" spans="1:63">
      <c r="A700">
        <v>3973</v>
      </c>
      <c r="B700" t="s">
        <v>3932</v>
      </c>
      <c r="D700" t="s">
        <v>66</v>
      </c>
      <c r="E700">
        <v>4019008</v>
      </c>
      <c r="F700">
        <v>4019136</v>
      </c>
      <c r="G700" t="s">
        <v>74</v>
      </c>
      <c r="H700">
        <v>43</v>
      </c>
      <c r="I700" t="s">
        <v>63</v>
      </c>
      <c r="J700">
        <v>5</v>
      </c>
      <c r="K700" t="str">
        <f>HYPERLINK("Gene3973-zp_tree_all.dnd", "Gene3973-tree")</f>
        <v>Gene3973-tree</v>
      </c>
      <c r="L700">
        <v>0</v>
      </c>
      <c r="M700">
        <v>5</v>
      </c>
      <c r="N700">
        <v>0</v>
      </c>
      <c r="O700">
        <v>5</v>
      </c>
      <c r="P700">
        <v>1</v>
      </c>
      <c r="Q700" t="s">
        <v>66</v>
      </c>
      <c r="R700" t="s">
        <v>96</v>
      </c>
      <c r="S700" t="s">
        <v>66</v>
      </c>
      <c r="T700" t="s">
        <v>66</v>
      </c>
      <c r="U700">
        <v>0</v>
      </c>
      <c r="V700">
        <v>0</v>
      </c>
      <c r="W700">
        <v>7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7</v>
      </c>
      <c r="AH700">
        <v>0</v>
      </c>
      <c r="AI700">
        <v>4</v>
      </c>
      <c r="AJ700">
        <v>2</v>
      </c>
      <c r="AK700">
        <v>3</v>
      </c>
      <c r="AL700">
        <v>5</v>
      </c>
      <c r="AM700">
        <v>1</v>
      </c>
      <c r="AN700">
        <v>2</v>
      </c>
      <c r="AO700" t="s">
        <v>3934</v>
      </c>
      <c r="AP700" t="s">
        <v>3935</v>
      </c>
      <c r="AQ700">
        <v>0.2</v>
      </c>
      <c r="AR700" t="s">
        <v>69</v>
      </c>
      <c r="AS700">
        <v>4</v>
      </c>
      <c r="AT700">
        <v>7</v>
      </c>
      <c r="AU700">
        <v>3.8760000000000003E-2</v>
      </c>
      <c r="AV700">
        <v>-4.5199999999999997E-3</v>
      </c>
      <c r="AW700">
        <v>7.5300000000000006E-2</v>
      </c>
      <c r="AX700">
        <v>-1.4930000000000001E-2</v>
      </c>
      <c r="AY700">
        <v>3.1669999999999997E-2</v>
      </c>
      <c r="AZ700">
        <v>-3.0999999999999999E-3</v>
      </c>
      <c r="BA700">
        <v>0.42058000000000001</v>
      </c>
      <c r="BB700">
        <v>0.85399999999999998</v>
      </c>
      <c r="BC700" t="s">
        <v>188</v>
      </c>
      <c r="BD700">
        <v>-0.38200000000000001</v>
      </c>
      <c r="BE700">
        <v>-0.38200000000000001</v>
      </c>
      <c r="BF700" t="s">
        <v>71</v>
      </c>
      <c r="BG700">
        <v>7.3170731707316999E-2</v>
      </c>
      <c r="BI700">
        <v>11</v>
      </c>
      <c r="BJ700">
        <v>0.42058000000000001</v>
      </c>
      <c r="BK700">
        <v>7.3170731707316999E-2</v>
      </c>
    </row>
    <row r="701" spans="1:63">
      <c r="A701">
        <v>3983</v>
      </c>
      <c r="B701" t="s">
        <v>3936</v>
      </c>
      <c r="D701" t="s">
        <v>66</v>
      </c>
      <c r="E701">
        <v>4023547</v>
      </c>
      <c r="F701">
        <v>4030548</v>
      </c>
      <c r="G701" t="s">
        <v>3938</v>
      </c>
      <c r="H701">
        <v>2334</v>
      </c>
      <c r="I701" t="s">
        <v>106</v>
      </c>
      <c r="J701">
        <v>4</v>
      </c>
      <c r="K701" t="str">
        <f>HYPERLINK("Gene3983-zp_tree_all.dnd", "Gene3983-tree")</f>
        <v>Gene3983-tree</v>
      </c>
      <c r="L701">
        <v>0</v>
      </c>
      <c r="M701">
        <v>4</v>
      </c>
      <c r="N701">
        <v>0</v>
      </c>
      <c r="O701">
        <v>4</v>
      </c>
      <c r="P701">
        <v>1</v>
      </c>
      <c r="Q701" t="s">
        <v>66</v>
      </c>
      <c r="R701" t="s">
        <v>64</v>
      </c>
      <c r="S701" t="s">
        <v>66</v>
      </c>
      <c r="T701" t="s">
        <v>66</v>
      </c>
      <c r="U701">
        <v>8</v>
      </c>
      <c r="V701">
        <v>17</v>
      </c>
      <c r="W701">
        <v>71</v>
      </c>
      <c r="X701">
        <v>0.19317999999999999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8</v>
      </c>
      <c r="AE701">
        <v>9</v>
      </c>
      <c r="AF701">
        <v>17</v>
      </c>
      <c r="AG701">
        <v>71</v>
      </c>
      <c r="AH701">
        <v>0.19317999999999999</v>
      </c>
      <c r="AI701">
        <v>4</v>
      </c>
      <c r="AJ701">
        <v>1</v>
      </c>
      <c r="AK701">
        <v>438</v>
      </c>
      <c r="AL701">
        <v>87</v>
      </c>
      <c r="AM701">
        <v>38</v>
      </c>
      <c r="AN701">
        <v>3</v>
      </c>
      <c r="AO701" t="s">
        <v>3939</v>
      </c>
      <c r="AP701" t="s">
        <v>3940</v>
      </c>
      <c r="AQ701">
        <v>2.028</v>
      </c>
      <c r="AR701" t="s">
        <v>239</v>
      </c>
      <c r="AS701">
        <v>476</v>
      </c>
      <c r="AT701">
        <v>90</v>
      </c>
      <c r="AU701">
        <v>4.0149999999999998E-2</v>
      </c>
      <c r="AV701">
        <v>-4.62E-3</v>
      </c>
      <c r="AW701">
        <v>0.16519</v>
      </c>
      <c r="AX701">
        <v>-2.0480000000000002E-2</v>
      </c>
      <c r="AY701">
        <v>8.3899999999999999E-3</v>
      </c>
      <c r="AZ701">
        <v>-1.1199999999999999E-3</v>
      </c>
      <c r="BA701">
        <v>5.0770000000000003E-2</v>
      </c>
      <c r="BB701">
        <v>1</v>
      </c>
      <c r="BC701" t="s">
        <v>70</v>
      </c>
      <c r="BD701">
        <v>-0.129</v>
      </c>
      <c r="BE701">
        <v>-0.45700000000000002</v>
      </c>
      <c r="BF701" t="s">
        <v>71</v>
      </c>
      <c r="BG701">
        <v>4.4058744993324399E-2</v>
      </c>
      <c r="BI701">
        <v>566</v>
      </c>
      <c r="BJ701">
        <v>5.0770000000000003E-2</v>
      </c>
      <c r="BK701">
        <v>4.4058744993324399E-2</v>
      </c>
    </row>
    <row r="702" spans="1:63">
      <c r="A702">
        <v>3986</v>
      </c>
      <c r="B702" t="s">
        <v>3941</v>
      </c>
      <c r="D702" t="s">
        <v>66</v>
      </c>
      <c r="E702">
        <v>4032349</v>
      </c>
      <c r="F702">
        <v>4033755</v>
      </c>
      <c r="G702" t="s">
        <v>3943</v>
      </c>
      <c r="H702">
        <v>469</v>
      </c>
      <c r="I702" t="s">
        <v>85</v>
      </c>
      <c r="J702">
        <v>4</v>
      </c>
      <c r="K702" t="str">
        <f>HYPERLINK("Gene3986-zp_tree_all.dnd", "Gene3986-tree")</f>
        <v>Gene3986-tree</v>
      </c>
      <c r="L702">
        <v>1</v>
      </c>
      <c r="M702">
        <v>3</v>
      </c>
      <c r="N702">
        <v>1</v>
      </c>
      <c r="O702">
        <v>3</v>
      </c>
      <c r="P702">
        <v>0.75</v>
      </c>
      <c r="Q702" t="s">
        <v>65</v>
      </c>
      <c r="R702" t="s">
        <v>86</v>
      </c>
      <c r="S702" t="s">
        <v>66</v>
      </c>
      <c r="T702" t="s">
        <v>66</v>
      </c>
      <c r="U702">
        <v>0</v>
      </c>
      <c r="V702">
        <v>0</v>
      </c>
      <c r="W702">
        <v>11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11</v>
      </c>
      <c r="AH702">
        <v>0</v>
      </c>
      <c r="AI702">
        <v>4</v>
      </c>
      <c r="AJ702">
        <v>1</v>
      </c>
      <c r="AK702">
        <v>48</v>
      </c>
      <c r="AL702">
        <v>9</v>
      </c>
      <c r="AM702">
        <v>17</v>
      </c>
      <c r="AN702">
        <v>3</v>
      </c>
      <c r="AO702" t="s">
        <v>3944</v>
      </c>
      <c r="AP702" t="s">
        <v>3945</v>
      </c>
      <c r="AQ702">
        <v>9.8000000000000004E-2</v>
      </c>
      <c r="AR702" t="s">
        <v>69</v>
      </c>
      <c r="AS702">
        <v>65</v>
      </c>
      <c r="AT702">
        <v>12</v>
      </c>
      <c r="AU702">
        <v>2.9319999999999999E-2</v>
      </c>
      <c r="AV702">
        <v>-4.2199999999999998E-3</v>
      </c>
      <c r="AW702">
        <v>0.12058000000000001</v>
      </c>
      <c r="AX702">
        <v>-1.7919999999999998E-2</v>
      </c>
      <c r="AY702">
        <v>5.9899999999999997E-3</v>
      </c>
      <c r="AZ702">
        <v>-9.3999999999999997E-4</v>
      </c>
      <c r="BA702">
        <v>4.9700000000000001E-2</v>
      </c>
      <c r="BB702">
        <v>1</v>
      </c>
      <c r="BC702" t="s">
        <v>70</v>
      </c>
      <c r="BD702">
        <v>6.6000000000000003E-2</v>
      </c>
      <c r="BE702">
        <v>-6.2E-2</v>
      </c>
      <c r="BF702" t="s">
        <v>71</v>
      </c>
      <c r="BG702">
        <v>0.114197530864197</v>
      </c>
      <c r="BI702">
        <v>77</v>
      </c>
      <c r="BJ702">
        <v>4.9700000000000001E-2</v>
      </c>
      <c r="BK702">
        <v>0.114197530864197</v>
      </c>
    </row>
    <row r="703" spans="1:63">
      <c r="A703">
        <v>3992</v>
      </c>
      <c r="B703" t="s">
        <v>3948</v>
      </c>
      <c r="D703" t="s">
        <v>66</v>
      </c>
      <c r="E703">
        <v>4038797</v>
      </c>
      <c r="F703">
        <v>4039159</v>
      </c>
      <c r="G703" t="s">
        <v>74</v>
      </c>
      <c r="H703">
        <v>121</v>
      </c>
      <c r="I703" t="s">
        <v>106</v>
      </c>
      <c r="J703">
        <v>4</v>
      </c>
      <c r="K703" t="str">
        <f>HYPERLINK("Gene3992-zp_tree_all.dnd", "Gene3992-tree")</f>
        <v>Gene3992-tree</v>
      </c>
      <c r="L703">
        <v>1</v>
      </c>
      <c r="M703">
        <v>3</v>
      </c>
      <c r="N703">
        <v>1</v>
      </c>
      <c r="O703">
        <v>3</v>
      </c>
      <c r="P703">
        <v>0.75</v>
      </c>
      <c r="Q703" t="s">
        <v>65</v>
      </c>
      <c r="R703" t="s">
        <v>86</v>
      </c>
      <c r="S703" t="s">
        <v>66</v>
      </c>
      <c r="T703" t="s">
        <v>66</v>
      </c>
      <c r="U703">
        <v>0</v>
      </c>
      <c r="V703">
        <v>0</v>
      </c>
      <c r="W703">
        <v>3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3</v>
      </c>
      <c r="AH703">
        <v>0</v>
      </c>
      <c r="AI703">
        <v>3</v>
      </c>
      <c r="AJ703">
        <v>1</v>
      </c>
      <c r="AK703">
        <v>4</v>
      </c>
      <c r="AL703">
        <v>2</v>
      </c>
      <c r="AM703">
        <v>2</v>
      </c>
      <c r="AN703">
        <v>1</v>
      </c>
      <c r="AO703" t="s">
        <v>3950</v>
      </c>
      <c r="AP703" t="s">
        <v>3951</v>
      </c>
      <c r="AQ703">
        <v>6.0000000000000001E-3</v>
      </c>
      <c r="AR703" t="s">
        <v>69</v>
      </c>
      <c r="AS703">
        <v>6</v>
      </c>
      <c r="AT703">
        <v>3</v>
      </c>
      <c r="AU703">
        <v>1.3769999999999999E-2</v>
      </c>
      <c r="AV703">
        <v>-2.5100000000000001E-3</v>
      </c>
      <c r="AW703">
        <v>5.0909999999999997E-2</v>
      </c>
      <c r="AX703">
        <v>-1.093E-2</v>
      </c>
      <c r="AY703">
        <v>5.6800000000000002E-3</v>
      </c>
      <c r="AZ703">
        <v>-1.0399999999999999E-3</v>
      </c>
      <c r="BA703">
        <v>0.1116</v>
      </c>
      <c r="BB703">
        <v>1</v>
      </c>
      <c r="BC703" t="s">
        <v>70</v>
      </c>
      <c r="BD703">
        <v>0.184</v>
      </c>
      <c r="BE703">
        <v>0.184</v>
      </c>
      <c r="BF703" t="s">
        <v>71</v>
      </c>
      <c r="BG703">
        <v>0.105263157894736</v>
      </c>
      <c r="BI703">
        <v>9</v>
      </c>
      <c r="BJ703">
        <v>0.1116</v>
      </c>
      <c r="BK703">
        <v>0.105263157894736</v>
      </c>
    </row>
    <row r="704" spans="1:63">
      <c r="A704">
        <v>4009</v>
      </c>
      <c r="B704" t="s">
        <v>3960</v>
      </c>
      <c r="D704" t="s">
        <v>66</v>
      </c>
      <c r="E704">
        <v>4058032</v>
      </c>
      <c r="F704">
        <v>4058778</v>
      </c>
      <c r="G704" t="s">
        <v>3962</v>
      </c>
      <c r="H704">
        <v>249</v>
      </c>
      <c r="I704" t="s">
        <v>63</v>
      </c>
      <c r="J704">
        <v>5</v>
      </c>
      <c r="K704" t="str">
        <f>HYPERLINK("Gene4009-zp_tree_all.dnd", "Gene4009-tree")</f>
        <v>Gene4009-tree</v>
      </c>
      <c r="L704">
        <v>1</v>
      </c>
      <c r="M704">
        <v>4</v>
      </c>
      <c r="N704">
        <v>1</v>
      </c>
      <c r="O704">
        <v>4</v>
      </c>
      <c r="P704">
        <v>0.8</v>
      </c>
      <c r="Q704" t="s">
        <v>65</v>
      </c>
      <c r="R704" t="s">
        <v>64</v>
      </c>
      <c r="S704" t="s">
        <v>66</v>
      </c>
      <c r="T704" t="s">
        <v>66</v>
      </c>
      <c r="U704">
        <v>0</v>
      </c>
      <c r="V704">
        <v>0</v>
      </c>
      <c r="W704">
        <v>7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7</v>
      </c>
      <c r="AH704">
        <v>0</v>
      </c>
      <c r="AI704">
        <v>5</v>
      </c>
      <c r="AJ704">
        <v>2</v>
      </c>
      <c r="AK704">
        <v>32</v>
      </c>
      <c r="AL704">
        <v>4</v>
      </c>
      <c r="AM704">
        <v>15</v>
      </c>
      <c r="AN704">
        <v>3</v>
      </c>
      <c r="AO704" t="s">
        <v>3963</v>
      </c>
      <c r="AP704" t="s">
        <v>3964</v>
      </c>
      <c r="AQ704">
        <v>0.377</v>
      </c>
      <c r="AR704" t="s">
        <v>69</v>
      </c>
      <c r="AS704">
        <v>47</v>
      </c>
      <c r="AT704">
        <v>7</v>
      </c>
      <c r="AU704">
        <v>3.2800000000000003E-2</v>
      </c>
      <c r="AV704">
        <v>-4.3499999999999997E-3</v>
      </c>
      <c r="AW704">
        <v>0.13544</v>
      </c>
      <c r="AX704">
        <v>-1.873E-2</v>
      </c>
      <c r="AY704">
        <v>5.9500000000000004E-3</v>
      </c>
      <c r="AZ704">
        <v>-8.9999999999999998E-4</v>
      </c>
      <c r="BA704">
        <v>4.3950000000000003E-2</v>
      </c>
      <c r="BB704">
        <v>1</v>
      </c>
      <c r="BC704" t="s">
        <v>70</v>
      </c>
      <c r="BD704">
        <v>-0.13900000000000001</v>
      </c>
      <c r="BE704">
        <v>-0.28999999999999998</v>
      </c>
      <c r="BF704" t="s">
        <v>71</v>
      </c>
      <c r="BG704">
        <v>6.17977528089887E-2</v>
      </c>
      <c r="BI704">
        <v>54</v>
      </c>
      <c r="BJ704">
        <v>4.3950000000000003E-2</v>
      </c>
      <c r="BK704">
        <v>6.17977528089887E-2</v>
      </c>
    </row>
    <row r="705" spans="1:63">
      <c r="A705">
        <v>4010</v>
      </c>
      <c r="B705" t="s">
        <v>3965</v>
      </c>
      <c r="D705" t="s">
        <v>66</v>
      </c>
      <c r="E705">
        <v>4058794</v>
      </c>
      <c r="F705">
        <v>4059465</v>
      </c>
      <c r="G705" t="s">
        <v>3967</v>
      </c>
      <c r="H705">
        <v>224</v>
      </c>
      <c r="I705" t="s">
        <v>63</v>
      </c>
      <c r="J705">
        <v>5</v>
      </c>
      <c r="K705" t="str">
        <f>HYPERLINK("Gene4010-zp_tree_all.dnd", "Gene4010-tree")</f>
        <v>Gene4010-tree</v>
      </c>
      <c r="L705">
        <v>2</v>
      </c>
      <c r="M705">
        <v>3</v>
      </c>
      <c r="N705">
        <v>2</v>
      </c>
      <c r="O705">
        <v>3</v>
      </c>
      <c r="P705">
        <v>0.6</v>
      </c>
      <c r="Q705" t="s">
        <v>124</v>
      </c>
      <c r="R705" t="s">
        <v>86</v>
      </c>
      <c r="S705" t="s">
        <v>66</v>
      </c>
      <c r="T705" t="s">
        <v>66</v>
      </c>
      <c r="U705">
        <v>0</v>
      </c>
      <c r="V705">
        <v>0</v>
      </c>
      <c r="W705">
        <v>6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6</v>
      </c>
      <c r="AH705">
        <v>0</v>
      </c>
      <c r="AI705">
        <v>5</v>
      </c>
      <c r="AJ705">
        <v>2</v>
      </c>
      <c r="AK705">
        <v>40</v>
      </c>
      <c r="AL705">
        <v>4</v>
      </c>
      <c r="AM705">
        <v>15</v>
      </c>
      <c r="AN705">
        <v>2</v>
      </c>
      <c r="AO705" t="s">
        <v>3968</v>
      </c>
      <c r="AP705" t="s">
        <v>3969</v>
      </c>
      <c r="AQ705">
        <v>0.23899999999999999</v>
      </c>
      <c r="AR705" t="s">
        <v>69</v>
      </c>
      <c r="AS705">
        <v>55</v>
      </c>
      <c r="AT705">
        <v>6</v>
      </c>
      <c r="AU705">
        <v>3.9879999999999999E-2</v>
      </c>
      <c r="AV705">
        <v>-3.9199999999999999E-3</v>
      </c>
      <c r="AW705">
        <v>0.16633999999999999</v>
      </c>
      <c r="AX705">
        <v>-1.6799999999999999E-2</v>
      </c>
      <c r="AY705">
        <v>5.5199999999999997E-3</v>
      </c>
      <c r="AZ705">
        <v>-9.6000000000000002E-4</v>
      </c>
      <c r="BA705">
        <v>3.32E-2</v>
      </c>
      <c r="BB705">
        <v>1</v>
      </c>
      <c r="BC705" t="s">
        <v>70</v>
      </c>
      <c r="BD705">
        <v>-2.1999999999999999E-2</v>
      </c>
      <c r="BE705">
        <v>-0.30399999999999999</v>
      </c>
      <c r="BF705" t="s">
        <v>71</v>
      </c>
      <c r="BG705">
        <v>-6.4516129032258004E-3</v>
      </c>
      <c r="BI705">
        <v>61</v>
      </c>
      <c r="BJ705">
        <v>3.32E-2</v>
      </c>
      <c r="BK705">
        <v>-6.4516129032258004E-3</v>
      </c>
    </row>
    <row r="706" spans="1:63">
      <c r="A706">
        <v>4016</v>
      </c>
      <c r="B706" t="s">
        <v>3970</v>
      </c>
      <c r="D706" t="s">
        <v>66</v>
      </c>
      <c r="E706">
        <v>4063687</v>
      </c>
      <c r="F706">
        <v>4064496</v>
      </c>
      <c r="G706" t="s">
        <v>74</v>
      </c>
      <c r="H706">
        <v>270</v>
      </c>
      <c r="I706" t="s">
        <v>63</v>
      </c>
      <c r="J706">
        <v>5</v>
      </c>
      <c r="K706" t="str">
        <f>HYPERLINK("Gene4016-zp_tree_all.dnd", "Gene4016-tree")</f>
        <v>Gene4016-tree</v>
      </c>
      <c r="L706">
        <v>1</v>
      </c>
      <c r="M706">
        <v>4</v>
      </c>
      <c r="N706">
        <v>1</v>
      </c>
      <c r="O706">
        <v>4</v>
      </c>
      <c r="P706">
        <v>0.8</v>
      </c>
      <c r="Q706" t="s">
        <v>65</v>
      </c>
      <c r="R706" t="s">
        <v>64</v>
      </c>
      <c r="S706" t="s">
        <v>66</v>
      </c>
      <c r="T706" t="s">
        <v>66</v>
      </c>
      <c r="U706">
        <v>1</v>
      </c>
      <c r="V706">
        <v>2</v>
      </c>
      <c r="W706">
        <v>10</v>
      </c>
      <c r="X706">
        <v>0.16667000000000001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2</v>
      </c>
      <c r="AE706">
        <v>0</v>
      </c>
      <c r="AF706">
        <v>2</v>
      </c>
      <c r="AG706">
        <v>10</v>
      </c>
      <c r="AH706">
        <v>0.16667000000000001</v>
      </c>
      <c r="AI706">
        <v>5</v>
      </c>
      <c r="AJ706">
        <v>2</v>
      </c>
      <c r="AK706">
        <v>39</v>
      </c>
      <c r="AL706">
        <v>6</v>
      </c>
      <c r="AM706">
        <v>18</v>
      </c>
      <c r="AN706">
        <v>6</v>
      </c>
      <c r="AO706" t="s">
        <v>3972</v>
      </c>
      <c r="AP706" t="s">
        <v>3973</v>
      </c>
      <c r="AQ706">
        <v>0.81699999999999995</v>
      </c>
      <c r="AR706" t="s">
        <v>69</v>
      </c>
      <c r="AS706">
        <v>57</v>
      </c>
      <c r="AT706">
        <v>12</v>
      </c>
      <c r="AU706">
        <v>3.7530000000000001E-2</v>
      </c>
      <c r="AV706">
        <v>-4.2199999999999998E-3</v>
      </c>
      <c r="AW706">
        <v>0.14885999999999999</v>
      </c>
      <c r="AX706">
        <v>-1.6969999999999999E-2</v>
      </c>
      <c r="AY706">
        <v>9.0399999999999994E-3</v>
      </c>
      <c r="AZ706">
        <v>-1.4E-3</v>
      </c>
      <c r="BA706">
        <v>6.0729999999999999E-2</v>
      </c>
      <c r="BB706">
        <v>1</v>
      </c>
      <c r="BC706" t="s">
        <v>70</v>
      </c>
      <c r="BD706">
        <v>0.16300000000000001</v>
      </c>
      <c r="BE706">
        <v>-9.1999999999999998E-2</v>
      </c>
      <c r="BF706" t="s">
        <v>71</v>
      </c>
      <c r="BG706">
        <v>8.4931506849314997E-2</v>
      </c>
      <c r="BI706">
        <v>69</v>
      </c>
      <c r="BJ706">
        <v>6.0729999999999999E-2</v>
      </c>
      <c r="BK706">
        <v>8.4931506849314997E-2</v>
      </c>
    </row>
    <row r="707" spans="1:63">
      <c r="A707">
        <v>4021</v>
      </c>
      <c r="B707" t="s">
        <v>3980</v>
      </c>
      <c r="D707" t="s">
        <v>66</v>
      </c>
      <c r="E707">
        <v>4066610</v>
      </c>
      <c r="F707">
        <v>4067005</v>
      </c>
      <c r="G707" t="s">
        <v>74</v>
      </c>
      <c r="H707">
        <v>132</v>
      </c>
      <c r="I707" t="s">
        <v>63</v>
      </c>
      <c r="J707">
        <v>5</v>
      </c>
      <c r="K707" t="str">
        <f>HYPERLINK("Gene4021-zp_tree_all.dnd", "Gene4021-tree")</f>
        <v>Gene4021-tree</v>
      </c>
      <c r="L707">
        <v>4</v>
      </c>
      <c r="M707">
        <v>1</v>
      </c>
      <c r="N707">
        <v>4</v>
      </c>
      <c r="O707">
        <v>1</v>
      </c>
      <c r="P707">
        <v>0.2</v>
      </c>
      <c r="Q707" t="s">
        <v>64</v>
      </c>
      <c r="R707" t="s">
        <v>65</v>
      </c>
      <c r="S707" t="s">
        <v>66</v>
      </c>
      <c r="T707" t="s">
        <v>66</v>
      </c>
      <c r="U707">
        <v>0</v>
      </c>
      <c r="V707">
        <v>0</v>
      </c>
      <c r="W707">
        <v>2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2</v>
      </c>
      <c r="AH707">
        <v>0</v>
      </c>
      <c r="AI707">
        <v>5</v>
      </c>
      <c r="AJ707">
        <v>1</v>
      </c>
      <c r="AK707">
        <v>14</v>
      </c>
      <c r="AL707">
        <v>2</v>
      </c>
      <c r="AM707">
        <v>3</v>
      </c>
      <c r="AN707">
        <v>0</v>
      </c>
      <c r="AO707" t="s">
        <v>3982</v>
      </c>
      <c r="AP707" t="s">
        <v>68</v>
      </c>
      <c r="AQ707">
        <v>0.42</v>
      </c>
      <c r="AR707" t="s">
        <v>69</v>
      </c>
      <c r="AS707">
        <v>17</v>
      </c>
      <c r="AT707">
        <v>2</v>
      </c>
      <c r="AU707">
        <v>2.0199999999999999E-2</v>
      </c>
      <c r="AV707">
        <v>-4.13E-3</v>
      </c>
      <c r="AW707">
        <v>9.3310000000000004E-2</v>
      </c>
      <c r="AX707">
        <v>-1.8249999999999999E-2</v>
      </c>
      <c r="AY707">
        <v>2.5699999999999998E-3</v>
      </c>
      <c r="AZ707">
        <v>-1E-3</v>
      </c>
      <c r="BA707">
        <v>2.759E-2</v>
      </c>
      <c r="BB707">
        <v>1</v>
      </c>
      <c r="BC707" t="s">
        <v>70</v>
      </c>
      <c r="BD707">
        <v>-0.54600000000000004</v>
      </c>
      <c r="BE707">
        <v>-0.54600000000000004</v>
      </c>
      <c r="BF707" t="s">
        <v>71</v>
      </c>
      <c r="BG707">
        <v>0.17857142857142799</v>
      </c>
      <c r="BI707">
        <v>19</v>
      </c>
      <c r="BJ707">
        <v>2.759E-2</v>
      </c>
      <c r="BK707">
        <v>0.17857142857142799</v>
      </c>
    </row>
    <row r="708" spans="1:63">
      <c r="A708">
        <v>4023</v>
      </c>
      <c r="B708" t="s">
        <v>3987</v>
      </c>
      <c r="D708" t="s">
        <v>66</v>
      </c>
      <c r="E708">
        <v>4068192</v>
      </c>
      <c r="F708">
        <v>4068536</v>
      </c>
      <c r="G708" t="s">
        <v>74</v>
      </c>
      <c r="H708">
        <v>115</v>
      </c>
      <c r="I708" t="s">
        <v>63</v>
      </c>
      <c r="J708">
        <v>5</v>
      </c>
      <c r="K708" t="str">
        <f>HYPERLINK("Gene4023-zp_tree_all.dnd", "Gene4023-tree")</f>
        <v>Gene4023-tree</v>
      </c>
      <c r="L708">
        <v>1</v>
      </c>
      <c r="M708">
        <v>4</v>
      </c>
      <c r="N708">
        <v>1</v>
      </c>
      <c r="O708">
        <v>4</v>
      </c>
      <c r="P708">
        <v>0.8</v>
      </c>
      <c r="Q708" t="s">
        <v>65</v>
      </c>
      <c r="R708" t="s">
        <v>64</v>
      </c>
      <c r="S708" t="s">
        <v>66</v>
      </c>
      <c r="T708" t="s">
        <v>66</v>
      </c>
      <c r="U708">
        <v>1</v>
      </c>
      <c r="V708">
        <v>3</v>
      </c>
      <c r="W708">
        <v>4</v>
      </c>
      <c r="X708">
        <v>0.42857000000000001</v>
      </c>
      <c r="Y708">
        <v>0</v>
      </c>
      <c r="Z708">
        <v>0</v>
      </c>
      <c r="AA708">
        <v>0</v>
      </c>
      <c r="AB708">
        <v>1</v>
      </c>
      <c r="AC708">
        <v>0</v>
      </c>
      <c r="AD708">
        <v>2</v>
      </c>
      <c r="AE708">
        <v>1</v>
      </c>
      <c r="AF708">
        <v>3</v>
      </c>
      <c r="AG708">
        <v>3</v>
      </c>
      <c r="AH708">
        <v>0.5</v>
      </c>
      <c r="AI708">
        <v>5</v>
      </c>
      <c r="AJ708">
        <v>1</v>
      </c>
      <c r="AK708">
        <v>6</v>
      </c>
      <c r="AL708">
        <v>6</v>
      </c>
      <c r="AM708">
        <v>4</v>
      </c>
      <c r="AN708">
        <v>1</v>
      </c>
      <c r="AO708" t="s">
        <v>3989</v>
      </c>
      <c r="AP708" t="s">
        <v>3990</v>
      </c>
      <c r="AQ708">
        <v>2.161</v>
      </c>
      <c r="AR708" t="s">
        <v>239</v>
      </c>
      <c r="AS708">
        <v>10</v>
      </c>
      <c r="AT708">
        <v>7</v>
      </c>
      <c r="AU708">
        <v>2.0289999999999999E-2</v>
      </c>
      <c r="AV708">
        <v>-2.2499999999999998E-3</v>
      </c>
      <c r="AW708">
        <v>6.4320000000000002E-2</v>
      </c>
      <c r="AX708">
        <v>-1.0529999999999999E-2</v>
      </c>
      <c r="AY708">
        <v>8.9700000000000005E-3</v>
      </c>
      <c r="AZ708">
        <v>-1.32E-3</v>
      </c>
      <c r="BA708">
        <v>0.13944999999999999</v>
      </c>
      <c r="BB708">
        <v>1</v>
      </c>
      <c r="BC708" t="s">
        <v>70</v>
      </c>
      <c r="BD708">
        <v>0.30399999999999999</v>
      </c>
      <c r="BE708">
        <v>0.30399999999999999</v>
      </c>
      <c r="BF708" t="s">
        <v>71</v>
      </c>
      <c r="BG708">
        <v>0.18421052631578899</v>
      </c>
      <c r="BI708">
        <v>17</v>
      </c>
      <c r="BJ708">
        <v>0.13944999999999999</v>
      </c>
      <c r="BK708">
        <v>0.18421052631578899</v>
      </c>
    </row>
    <row r="709" spans="1:63">
      <c r="A709">
        <v>4024</v>
      </c>
      <c r="B709" t="s">
        <v>3991</v>
      </c>
      <c r="D709" t="s">
        <v>66</v>
      </c>
      <c r="E709">
        <v>4068553</v>
      </c>
      <c r="F709">
        <v>4070418</v>
      </c>
      <c r="G709" t="s">
        <v>657</v>
      </c>
      <c r="H709">
        <v>622</v>
      </c>
      <c r="I709" t="s">
        <v>63</v>
      </c>
      <c r="J709">
        <v>5</v>
      </c>
      <c r="K709" t="str">
        <f>HYPERLINK("Gene4024-zp_tree_all.dnd", "Gene4024-tree")</f>
        <v>Gene4024-tree</v>
      </c>
      <c r="L709">
        <v>1</v>
      </c>
      <c r="M709">
        <v>4</v>
      </c>
      <c r="N709">
        <v>1</v>
      </c>
      <c r="O709">
        <v>4</v>
      </c>
      <c r="P709">
        <v>0.8</v>
      </c>
      <c r="Q709" t="s">
        <v>65</v>
      </c>
      <c r="R709" t="s">
        <v>64</v>
      </c>
      <c r="S709" t="s">
        <v>66</v>
      </c>
      <c r="T709" t="s">
        <v>66</v>
      </c>
      <c r="U709">
        <v>4</v>
      </c>
      <c r="V709">
        <v>8</v>
      </c>
      <c r="W709">
        <v>26</v>
      </c>
      <c r="X709">
        <v>0.23529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4</v>
      </c>
      <c r="AE709">
        <v>4</v>
      </c>
      <c r="AF709">
        <v>8</v>
      </c>
      <c r="AG709">
        <v>26</v>
      </c>
      <c r="AH709">
        <v>0.23529</v>
      </c>
      <c r="AI709">
        <v>5</v>
      </c>
      <c r="AJ709">
        <v>2</v>
      </c>
      <c r="AK709">
        <v>78</v>
      </c>
      <c r="AL709">
        <v>29</v>
      </c>
      <c r="AM709">
        <v>18</v>
      </c>
      <c r="AN709">
        <v>8</v>
      </c>
      <c r="AO709" t="s">
        <v>3993</v>
      </c>
      <c r="AP709" t="s">
        <v>3994</v>
      </c>
      <c r="AQ709">
        <v>0.27700000000000002</v>
      </c>
      <c r="AR709" t="s">
        <v>69</v>
      </c>
      <c r="AS709">
        <v>96</v>
      </c>
      <c r="AT709">
        <v>37</v>
      </c>
      <c r="AU709">
        <v>2.947E-2</v>
      </c>
      <c r="AV709">
        <v>-4.0400000000000002E-3</v>
      </c>
      <c r="AW709">
        <v>9.8159999999999997E-2</v>
      </c>
      <c r="AX709">
        <v>-1.329E-2</v>
      </c>
      <c r="AY709">
        <v>1.0869999999999999E-2</v>
      </c>
      <c r="AZ709">
        <v>-1.8600000000000001E-3</v>
      </c>
      <c r="BA709">
        <v>0.11069</v>
      </c>
      <c r="BB709">
        <v>1</v>
      </c>
      <c r="BC709" t="s">
        <v>70</v>
      </c>
      <c r="BD709">
        <v>-0.40400000000000003</v>
      </c>
      <c r="BE709">
        <v>-0.71799999999999997</v>
      </c>
      <c r="BF709" t="s">
        <v>71</v>
      </c>
      <c r="BG709">
        <v>2.1844660194174699E-2</v>
      </c>
      <c r="BI709">
        <v>133</v>
      </c>
      <c r="BJ709">
        <v>0.11069</v>
      </c>
      <c r="BK709">
        <v>2.1844660194174699E-2</v>
      </c>
    </row>
    <row r="710" spans="1:63">
      <c r="A710">
        <v>4025</v>
      </c>
      <c r="B710" t="s">
        <v>3995</v>
      </c>
      <c r="D710" t="s">
        <v>66</v>
      </c>
      <c r="E710">
        <v>4070396</v>
      </c>
      <c r="F710">
        <v>4071166</v>
      </c>
      <c r="G710" t="s">
        <v>560</v>
      </c>
      <c r="H710">
        <v>257</v>
      </c>
      <c r="I710" t="s">
        <v>85</v>
      </c>
      <c r="J710">
        <v>4</v>
      </c>
      <c r="K710" t="str">
        <f>HYPERLINK("Gene4025-zp_tree_all.dnd", "Gene4025-tree")</f>
        <v>Gene4025-tree</v>
      </c>
      <c r="L710">
        <v>2</v>
      </c>
      <c r="M710">
        <v>2</v>
      </c>
      <c r="N710">
        <v>2</v>
      </c>
      <c r="O710">
        <v>2</v>
      </c>
      <c r="P710">
        <v>0.5</v>
      </c>
      <c r="Q710" t="s">
        <v>124</v>
      </c>
      <c r="R710" t="s">
        <v>124</v>
      </c>
      <c r="S710" t="s">
        <v>66</v>
      </c>
      <c r="T710" t="s">
        <v>66</v>
      </c>
      <c r="U710">
        <v>0</v>
      </c>
      <c r="V710">
        <v>0</v>
      </c>
      <c r="W710">
        <v>7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7</v>
      </c>
      <c r="AH710">
        <v>0</v>
      </c>
      <c r="AI710">
        <v>4</v>
      </c>
      <c r="AJ710">
        <v>1</v>
      </c>
      <c r="AK710">
        <v>24</v>
      </c>
      <c r="AL710">
        <v>2</v>
      </c>
      <c r="AM710">
        <v>7</v>
      </c>
      <c r="AN710">
        <v>5</v>
      </c>
      <c r="AO710" t="s">
        <v>3997</v>
      </c>
      <c r="AP710" t="s">
        <v>3998</v>
      </c>
      <c r="AQ710">
        <v>13.005000000000001</v>
      </c>
      <c r="AR710" t="s">
        <v>69</v>
      </c>
      <c r="AS710">
        <v>31</v>
      </c>
      <c r="AT710">
        <v>7</v>
      </c>
      <c r="AU710">
        <v>2.5510000000000001E-2</v>
      </c>
      <c r="AV710">
        <v>-2.9299999999999999E-3</v>
      </c>
      <c r="AW710">
        <v>8.9990000000000001E-2</v>
      </c>
      <c r="AX710">
        <v>-8.1799999999999998E-3</v>
      </c>
      <c r="AY710">
        <v>7.4000000000000003E-3</v>
      </c>
      <c r="AZ710">
        <v>-1.6900000000000001E-3</v>
      </c>
      <c r="BA710">
        <v>8.2189999999999999E-2</v>
      </c>
      <c r="BB710">
        <v>1</v>
      </c>
      <c r="BC710" t="s">
        <v>70</v>
      </c>
      <c r="BD710">
        <v>0.626</v>
      </c>
      <c r="BE710">
        <v>0.626</v>
      </c>
      <c r="BF710" t="s">
        <v>71</v>
      </c>
      <c r="BG710">
        <v>2.1505376344085999E-2</v>
      </c>
      <c r="BI710">
        <v>38</v>
      </c>
      <c r="BJ710">
        <v>8.2189999999999999E-2</v>
      </c>
      <c r="BK710">
        <v>2.1505376344085999E-2</v>
      </c>
    </row>
    <row r="711" spans="1:63">
      <c r="A711">
        <v>4026</v>
      </c>
      <c r="B711" t="s">
        <v>3999</v>
      </c>
      <c r="D711" t="s">
        <v>66</v>
      </c>
      <c r="E711">
        <v>4071313</v>
      </c>
      <c r="F711">
        <v>4072287</v>
      </c>
      <c r="G711" t="s">
        <v>4001</v>
      </c>
      <c r="H711">
        <v>325</v>
      </c>
      <c r="I711" t="s">
        <v>85</v>
      </c>
      <c r="J711">
        <v>4</v>
      </c>
      <c r="K711" t="str">
        <f>HYPERLINK("Gene4026-zp_tree_all.dnd", "Gene4026-tree")</f>
        <v>Gene4026-tree</v>
      </c>
      <c r="L711">
        <v>0</v>
      </c>
      <c r="M711">
        <v>4</v>
      </c>
      <c r="N711">
        <v>0</v>
      </c>
      <c r="O711">
        <v>4</v>
      </c>
      <c r="P711">
        <v>1</v>
      </c>
      <c r="Q711" t="s">
        <v>66</v>
      </c>
      <c r="R711" t="s">
        <v>64</v>
      </c>
      <c r="S711" t="s">
        <v>66</v>
      </c>
      <c r="T711" t="s">
        <v>66</v>
      </c>
      <c r="U711">
        <v>0</v>
      </c>
      <c r="V711">
        <v>0</v>
      </c>
      <c r="W711">
        <v>11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11</v>
      </c>
      <c r="AH711">
        <v>0</v>
      </c>
      <c r="AI711">
        <v>4</v>
      </c>
      <c r="AJ711">
        <v>1</v>
      </c>
      <c r="AK711">
        <v>25</v>
      </c>
      <c r="AL711">
        <v>10</v>
      </c>
      <c r="AM711">
        <v>2</v>
      </c>
      <c r="AN711">
        <v>1</v>
      </c>
      <c r="AO711" t="s">
        <v>4002</v>
      </c>
      <c r="AP711" t="s">
        <v>4003</v>
      </c>
      <c r="AQ711">
        <v>0.47299999999999998</v>
      </c>
      <c r="AR711" t="s">
        <v>69</v>
      </c>
      <c r="AS711">
        <v>27</v>
      </c>
      <c r="AT711">
        <v>11</v>
      </c>
      <c r="AU711">
        <v>0.02</v>
      </c>
      <c r="AV711">
        <v>-2.99E-3</v>
      </c>
      <c r="AW711">
        <v>6.3479999999999995E-2</v>
      </c>
      <c r="AX711">
        <v>-9.7000000000000003E-3</v>
      </c>
      <c r="AY711">
        <v>7.6400000000000001E-3</v>
      </c>
      <c r="AZ711">
        <v>-1.34E-3</v>
      </c>
      <c r="BA711">
        <v>0.12032</v>
      </c>
      <c r="BB711">
        <v>1</v>
      </c>
      <c r="BC711" t="s">
        <v>70</v>
      </c>
      <c r="BD711">
        <v>-0.61399999999999999</v>
      </c>
      <c r="BE711">
        <v>-0.61399999999999999</v>
      </c>
      <c r="BF711" t="s">
        <v>71</v>
      </c>
      <c r="BG711">
        <v>5.9866962305986697E-2</v>
      </c>
      <c r="BI711">
        <v>38</v>
      </c>
      <c r="BJ711">
        <v>0.12032</v>
      </c>
      <c r="BK711">
        <v>5.9866962305986697E-2</v>
      </c>
    </row>
    <row r="712" spans="1:63">
      <c r="A712">
        <v>4027</v>
      </c>
      <c r="B712" t="s">
        <v>4004</v>
      </c>
      <c r="D712" t="s">
        <v>66</v>
      </c>
      <c r="E712">
        <v>4072287</v>
      </c>
      <c r="F712">
        <v>4072973</v>
      </c>
      <c r="G712" t="s">
        <v>645</v>
      </c>
      <c r="H712">
        <v>229</v>
      </c>
      <c r="I712" t="s">
        <v>85</v>
      </c>
      <c r="J712">
        <v>4</v>
      </c>
      <c r="K712" t="str">
        <f>HYPERLINK("Gene4027-zp_tree_all.dnd", "Gene4027-tree")</f>
        <v>Gene4027-tree</v>
      </c>
      <c r="L712">
        <v>3</v>
      </c>
      <c r="M712">
        <v>1</v>
      </c>
      <c r="N712">
        <v>3</v>
      </c>
      <c r="O712">
        <v>1</v>
      </c>
      <c r="P712">
        <v>0.25</v>
      </c>
      <c r="Q712" t="s">
        <v>86</v>
      </c>
      <c r="R712" t="s">
        <v>65</v>
      </c>
      <c r="S712" t="s">
        <v>66</v>
      </c>
      <c r="T712" t="s">
        <v>66</v>
      </c>
      <c r="U712">
        <v>0</v>
      </c>
      <c r="V712">
        <v>0</v>
      </c>
      <c r="W712">
        <v>5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5</v>
      </c>
      <c r="AH712">
        <v>0</v>
      </c>
      <c r="AI712">
        <v>3</v>
      </c>
      <c r="AJ712">
        <v>1</v>
      </c>
      <c r="AK712">
        <v>23</v>
      </c>
      <c r="AL712">
        <v>5</v>
      </c>
      <c r="AM712">
        <v>1</v>
      </c>
      <c r="AN712">
        <v>0</v>
      </c>
      <c r="AO712" t="s">
        <v>4006</v>
      </c>
      <c r="AP712" t="s">
        <v>68</v>
      </c>
      <c r="AQ712">
        <v>0.48799999999999999</v>
      </c>
      <c r="AR712" t="s">
        <v>69</v>
      </c>
      <c r="AS712">
        <v>24</v>
      </c>
      <c r="AT712">
        <v>5</v>
      </c>
      <c r="AU712">
        <v>2.1350000000000001E-2</v>
      </c>
      <c r="AV712">
        <v>-7.5399999999999998E-3</v>
      </c>
      <c r="AW712">
        <v>8.5400000000000004E-2</v>
      </c>
      <c r="AX712">
        <v>-2.9669999999999998E-2</v>
      </c>
      <c r="AY712">
        <v>4.7499999999999999E-3</v>
      </c>
      <c r="AZ712">
        <v>-1.9400000000000001E-3</v>
      </c>
      <c r="BA712">
        <v>5.5559999999999998E-2</v>
      </c>
      <c r="BB712">
        <v>1</v>
      </c>
      <c r="BC712" t="s">
        <v>70</v>
      </c>
      <c r="BD712">
        <v>-0.752</v>
      </c>
      <c r="BE712">
        <v>-0.752</v>
      </c>
      <c r="BF712" t="s">
        <v>71</v>
      </c>
      <c r="BG712">
        <v>0.21712538226299599</v>
      </c>
      <c r="BI712">
        <v>29</v>
      </c>
      <c r="BJ712">
        <v>5.5559999999999998E-2</v>
      </c>
      <c r="BK712">
        <v>0.21712538226299599</v>
      </c>
    </row>
    <row r="713" spans="1:63">
      <c r="A713">
        <v>4028</v>
      </c>
      <c r="B713" t="s">
        <v>4007</v>
      </c>
      <c r="D713" t="s">
        <v>66</v>
      </c>
      <c r="E713">
        <v>4073084</v>
      </c>
      <c r="F713">
        <v>4073953</v>
      </c>
      <c r="G713" t="s">
        <v>4009</v>
      </c>
      <c r="H713">
        <v>290</v>
      </c>
      <c r="I713" t="s">
        <v>63</v>
      </c>
      <c r="J713">
        <v>5</v>
      </c>
      <c r="K713" t="str">
        <f>HYPERLINK("Gene4028-zp_tree_all.dnd", "Gene4028-tree")</f>
        <v>Gene4028-tree</v>
      </c>
      <c r="L713">
        <v>4</v>
      </c>
      <c r="M713">
        <v>1</v>
      </c>
      <c r="N713">
        <v>4</v>
      </c>
      <c r="O713">
        <v>1</v>
      </c>
      <c r="P713">
        <v>0.2</v>
      </c>
      <c r="Q713" t="s">
        <v>64</v>
      </c>
      <c r="R713" t="s">
        <v>65</v>
      </c>
      <c r="S713" t="s">
        <v>66</v>
      </c>
      <c r="T713" t="s">
        <v>66</v>
      </c>
      <c r="U713">
        <v>1</v>
      </c>
      <c r="V713">
        <v>2</v>
      </c>
      <c r="W713">
        <v>9</v>
      </c>
      <c r="X713">
        <v>0.18182000000000001</v>
      </c>
      <c r="Y713">
        <v>0</v>
      </c>
      <c r="Z713">
        <v>0</v>
      </c>
      <c r="AA713">
        <v>0</v>
      </c>
      <c r="AB713">
        <v>4</v>
      </c>
      <c r="AC713">
        <v>0</v>
      </c>
      <c r="AD713">
        <v>0</v>
      </c>
      <c r="AE713">
        <v>0</v>
      </c>
      <c r="AF713">
        <v>0</v>
      </c>
      <c r="AG713">
        <v>7</v>
      </c>
      <c r="AH713">
        <v>0</v>
      </c>
      <c r="AI713">
        <v>4</v>
      </c>
      <c r="AJ713">
        <v>2</v>
      </c>
      <c r="AK713">
        <v>19</v>
      </c>
      <c r="AL713">
        <v>8</v>
      </c>
      <c r="AM713">
        <v>14</v>
      </c>
      <c r="AN713">
        <v>4</v>
      </c>
      <c r="AO713" t="s">
        <v>4010</v>
      </c>
      <c r="AP713" t="s">
        <v>4011</v>
      </c>
      <c r="AQ713">
        <v>0.17799999999999999</v>
      </c>
      <c r="AR713" t="s">
        <v>69</v>
      </c>
      <c r="AS713">
        <v>33</v>
      </c>
      <c r="AT713">
        <v>12</v>
      </c>
      <c r="AU713">
        <v>2.4830000000000001E-2</v>
      </c>
      <c r="AV713">
        <v>-4.1999999999999997E-3</v>
      </c>
      <c r="AW713">
        <v>8.7499999999999994E-2</v>
      </c>
      <c r="AX713">
        <v>-1.3690000000000001E-2</v>
      </c>
      <c r="AY713">
        <v>7.9799999999999992E-3</v>
      </c>
      <c r="AZ713">
        <v>-1.9599999999999999E-3</v>
      </c>
      <c r="BA713">
        <v>9.1189999999999993E-2</v>
      </c>
      <c r="BB713">
        <v>1</v>
      </c>
      <c r="BC713" t="s">
        <v>70</v>
      </c>
      <c r="BD713">
        <v>0</v>
      </c>
      <c r="BE713">
        <v>0</v>
      </c>
      <c r="BF713" t="s">
        <v>71</v>
      </c>
      <c r="BG713">
        <v>8.9743589743589702E-2</v>
      </c>
      <c r="BI713">
        <v>45</v>
      </c>
      <c r="BJ713">
        <v>9.1189999999999993E-2</v>
      </c>
      <c r="BK713">
        <v>8.9743589743589702E-2</v>
      </c>
    </row>
    <row r="714" spans="1:63">
      <c r="A714">
        <v>4029</v>
      </c>
      <c r="B714" t="s">
        <v>4012</v>
      </c>
      <c r="D714" t="s">
        <v>66</v>
      </c>
      <c r="E714">
        <v>4073977</v>
      </c>
      <c r="F714">
        <v>4074810</v>
      </c>
      <c r="G714" t="s">
        <v>4014</v>
      </c>
      <c r="H714">
        <v>278</v>
      </c>
      <c r="I714" t="s">
        <v>106</v>
      </c>
      <c r="J714">
        <v>4</v>
      </c>
      <c r="K714" t="str">
        <f>HYPERLINK("Gene4029-zp_tree_all.dnd", "Gene4029-tree")</f>
        <v>Gene4029-tree</v>
      </c>
      <c r="L714">
        <v>1</v>
      </c>
      <c r="M714">
        <v>3</v>
      </c>
      <c r="N714">
        <v>1</v>
      </c>
      <c r="O714">
        <v>3</v>
      </c>
      <c r="P714">
        <v>0.75</v>
      </c>
      <c r="Q714" t="s">
        <v>65</v>
      </c>
      <c r="R714" t="s">
        <v>86</v>
      </c>
      <c r="S714" t="s">
        <v>66</v>
      </c>
      <c r="T714" t="s">
        <v>66</v>
      </c>
      <c r="U714">
        <v>1</v>
      </c>
      <c r="V714">
        <v>2</v>
      </c>
      <c r="W714">
        <v>5</v>
      </c>
      <c r="X714">
        <v>0.28571000000000002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2</v>
      </c>
      <c r="AE714">
        <v>0</v>
      </c>
      <c r="AF714">
        <v>2</v>
      </c>
      <c r="AG714">
        <v>5</v>
      </c>
      <c r="AH714">
        <v>0.28571000000000002</v>
      </c>
      <c r="AI714">
        <v>4</v>
      </c>
      <c r="AJ714">
        <v>1</v>
      </c>
      <c r="AK714">
        <v>41</v>
      </c>
      <c r="AL714">
        <v>6</v>
      </c>
      <c r="AM714">
        <v>4</v>
      </c>
      <c r="AN714">
        <v>1</v>
      </c>
      <c r="AO714" t="s">
        <v>4015</v>
      </c>
      <c r="AP714" t="s">
        <v>4016</v>
      </c>
      <c r="AQ714">
        <v>1.3</v>
      </c>
      <c r="AR714" t="s">
        <v>69</v>
      </c>
      <c r="AS714">
        <v>45</v>
      </c>
      <c r="AT714">
        <v>7</v>
      </c>
      <c r="AU714">
        <v>2.9780000000000001E-2</v>
      </c>
      <c r="AV714">
        <v>-5.1599999999999997E-3</v>
      </c>
      <c r="AW714">
        <v>0.13213</v>
      </c>
      <c r="AX714">
        <v>-2.6190000000000001E-2</v>
      </c>
      <c r="AY714">
        <v>5.1200000000000004E-3</v>
      </c>
      <c r="AZ714">
        <v>-5.9000000000000003E-4</v>
      </c>
      <c r="BA714">
        <v>3.8769999999999999E-2</v>
      </c>
      <c r="BB714">
        <v>1</v>
      </c>
      <c r="BC714" t="s">
        <v>70</v>
      </c>
      <c r="BD714">
        <v>-0.107</v>
      </c>
      <c r="BE714">
        <v>-0.52100000000000002</v>
      </c>
      <c r="BF714" t="s">
        <v>71</v>
      </c>
      <c r="BG714">
        <v>7.5630252100840303E-2</v>
      </c>
      <c r="BI714">
        <v>52</v>
      </c>
      <c r="BJ714">
        <v>3.8769999999999999E-2</v>
      </c>
      <c r="BK714">
        <v>7.5630252100840303E-2</v>
      </c>
    </row>
    <row r="715" spans="1:63">
      <c r="A715">
        <v>4030</v>
      </c>
      <c r="B715" t="s">
        <v>4017</v>
      </c>
      <c r="D715" t="s">
        <v>66</v>
      </c>
      <c r="E715">
        <v>4074899</v>
      </c>
      <c r="F715">
        <v>4075765</v>
      </c>
      <c r="G715" t="s">
        <v>4019</v>
      </c>
      <c r="H715">
        <v>289</v>
      </c>
      <c r="I715" t="s">
        <v>63</v>
      </c>
      <c r="J715">
        <v>5</v>
      </c>
      <c r="K715" t="str">
        <f>HYPERLINK("Gene4030-zp_tree_all.dnd", "Gene4030-tree")</f>
        <v>Gene4030-tree</v>
      </c>
      <c r="L715">
        <v>2</v>
      </c>
      <c r="M715">
        <v>3</v>
      </c>
      <c r="N715">
        <v>2</v>
      </c>
      <c r="O715">
        <v>3</v>
      </c>
      <c r="P715">
        <v>0.6</v>
      </c>
      <c r="Q715" t="s">
        <v>124</v>
      </c>
      <c r="R715" t="s">
        <v>86</v>
      </c>
      <c r="S715" t="s">
        <v>66</v>
      </c>
      <c r="T715" t="s">
        <v>66</v>
      </c>
      <c r="U715">
        <v>0</v>
      </c>
      <c r="V715">
        <v>0</v>
      </c>
      <c r="W715">
        <v>4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3</v>
      </c>
      <c r="AH715">
        <v>0</v>
      </c>
      <c r="AI715">
        <v>5</v>
      </c>
      <c r="AJ715">
        <v>2</v>
      </c>
      <c r="AK715">
        <v>60</v>
      </c>
      <c r="AL715">
        <v>3</v>
      </c>
      <c r="AM715">
        <v>20</v>
      </c>
      <c r="AN715">
        <v>1</v>
      </c>
      <c r="AO715" t="s">
        <v>4020</v>
      </c>
      <c r="AP715" t="s">
        <v>4021</v>
      </c>
      <c r="AQ715">
        <v>1.4E-2</v>
      </c>
      <c r="AR715" t="s">
        <v>69</v>
      </c>
      <c r="AS715">
        <v>80</v>
      </c>
      <c r="AT715">
        <v>4</v>
      </c>
      <c r="AU715">
        <v>4.002E-2</v>
      </c>
      <c r="AV715">
        <v>-3.5400000000000002E-3</v>
      </c>
      <c r="AW715">
        <v>0.20083999999999999</v>
      </c>
      <c r="AX715">
        <v>-1.975E-2</v>
      </c>
      <c r="AY715">
        <v>3.2399999999999998E-3</v>
      </c>
      <c r="AZ715">
        <v>-5.0000000000000001E-4</v>
      </c>
      <c r="BA715">
        <v>1.6140000000000002E-2</v>
      </c>
      <c r="BB715">
        <v>1</v>
      </c>
      <c r="BC715" t="s">
        <v>70</v>
      </c>
      <c r="BD715">
        <v>0.13800000000000001</v>
      </c>
      <c r="BE715">
        <v>-0.374</v>
      </c>
      <c r="BF715" t="s">
        <v>71</v>
      </c>
      <c r="BG715">
        <v>7.0866141732283394E-2</v>
      </c>
      <c r="BI715">
        <v>84</v>
      </c>
      <c r="BJ715">
        <v>1.6140000000000002E-2</v>
      </c>
      <c r="BK715">
        <v>7.0866141732283394E-2</v>
      </c>
    </row>
    <row r="716" spans="1:63">
      <c r="A716">
        <v>4035</v>
      </c>
      <c r="B716" t="s">
        <v>4022</v>
      </c>
      <c r="D716" t="s">
        <v>66</v>
      </c>
      <c r="E716">
        <v>4081032</v>
      </c>
      <c r="F716">
        <v>4082006</v>
      </c>
      <c r="G716" t="s">
        <v>4024</v>
      </c>
      <c r="H716">
        <v>325</v>
      </c>
      <c r="I716" t="s">
        <v>63</v>
      </c>
      <c r="J716">
        <v>5</v>
      </c>
      <c r="K716" t="str">
        <f>HYPERLINK("Gene4035-zp_tree_all.dnd", "Gene4035-tree")</f>
        <v>Gene4035-tree</v>
      </c>
      <c r="L716">
        <v>0</v>
      </c>
      <c r="M716">
        <v>5</v>
      </c>
      <c r="N716">
        <v>0</v>
      </c>
      <c r="O716">
        <v>5</v>
      </c>
      <c r="P716">
        <v>1</v>
      </c>
      <c r="Q716" t="s">
        <v>66</v>
      </c>
      <c r="R716" t="s">
        <v>96</v>
      </c>
      <c r="S716" t="s">
        <v>66</v>
      </c>
      <c r="T716" t="s">
        <v>66</v>
      </c>
      <c r="U716">
        <v>0</v>
      </c>
      <c r="V716">
        <v>0</v>
      </c>
      <c r="W716">
        <v>12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12</v>
      </c>
      <c r="AH716">
        <v>0</v>
      </c>
      <c r="AI716">
        <v>5</v>
      </c>
      <c r="AJ716">
        <v>2</v>
      </c>
      <c r="AK716">
        <v>49</v>
      </c>
      <c r="AL716">
        <v>8</v>
      </c>
      <c r="AM716">
        <v>15</v>
      </c>
      <c r="AN716">
        <v>4</v>
      </c>
      <c r="AO716" t="s">
        <v>4025</v>
      </c>
      <c r="AP716" t="s">
        <v>4026</v>
      </c>
      <c r="AQ716">
        <v>1.0840000000000001</v>
      </c>
      <c r="AR716" t="s">
        <v>69</v>
      </c>
      <c r="AS716">
        <v>64</v>
      </c>
      <c r="AT716">
        <v>12</v>
      </c>
      <c r="AU716">
        <v>3.3950000000000001E-2</v>
      </c>
      <c r="AV716">
        <v>-3.3999999999999998E-3</v>
      </c>
      <c r="AW716">
        <v>0.13274</v>
      </c>
      <c r="AX716">
        <v>-1.438E-2</v>
      </c>
      <c r="AY716">
        <v>7.5399999999999998E-3</v>
      </c>
      <c r="AZ716">
        <v>-8.9999999999999998E-4</v>
      </c>
      <c r="BA716">
        <v>5.6820000000000002E-2</v>
      </c>
      <c r="BB716">
        <v>1</v>
      </c>
      <c r="BC716" t="s">
        <v>70</v>
      </c>
      <c r="BD716">
        <v>-0.32</v>
      </c>
      <c r="BE716">
        <v>-0.64900000000000002</v>
      </c>
      <c r="BF716" t="s">
        <v>71</v>
      </c>
      <c r="BG716">
        <v>7.0663811563169102E-2</v>
      </c>
      <c r="BI716">
        <v>76</v>
      </c>
      <c r="BJ716">
        <v>5.6820000000000002E-2</v>
      </c>
      <c r="BK716">
        <v>7.0663811563169102E-2</v>
      </c>
    </row>
    <row r="717" spans="1:63">
      <c r="A717">
        <v>4060</v>
      </c>
      <c r="B717" t="s">
        <v>4035</v>
      </c>
      <c r="D717" t="s">
        <v>66</v>
      </c>
      <c r="E717">
        <v>4107355</v>
      </c>
      <c r="F717">
        <v>4107927</v>
      </c>
      <c r="G717" t="s">
        <v>4037</v>
      </c>
      <c r="H717">
        <v>191</v>
      </c>
      <c r="I717" t="s">
        <v>63</v>
      </c>
      <c r="J717">
        <v>5</v>
      </c>
      <c r="K717" t="str">
        <f>HYPERLINK("Gene4060-zp_tree_all.dnd", "Gene4060-tree")</f>
        <v>Gene4060-tree</v>
      </c>
      <c r="L717">
        <v>2</v>
      </c>
      <c r="M717">
        <v>3</v>
      </c>
      <c r="N717">
        <v>2</v>
      </c>
      <c r="O717">
        <v>3</v>
      </c>
      <c r="P717">
        <v>0.6</v>
      </c>
      <c r="Q717" t="s">
        <v>124</v>
      </c>
      <c r="R717" t="s">
        <v>86</v>
      </c>
      <c r="S717" t="s">
        <v>66</v>
      </c>
      <c r="T717" t="s">
        <v>66</v>
      </c>
      <c r="U717">
        <v>0</v>
      </c>
      <c r="V717">
        <v>0</v>
      </c>
      <c r="W717">
        <v>12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12</v>
      </c>
      <c r="AH717">
        <v>0</v>
      </c>
      <c r="AI717">
        <v>5</v>
      </c>
      <c r="AJ717">
        <v>2</v>
      </c>
      <c r="AK717">
        <v>16</v>
      </c>
      <c r="AL717">
        <v>7</v>
      </c>
      <c r="AM717">
        <v>9</v>
      </c>
      <c r="AN717">
        <v>6</v>
      </c>
      <c r="AO717" t="s">
        <v>4038</v>
      </c>
      <c r="AP717" t="s">
        <v>4039</v>
      </c>
      <c r="AQ717">
        <v>0.27800000000000002</v>
      </c>
      <c r="AR717" t="s">
        <v>69</v>
      </c>
      <c r="AS717">
        <v>25</v>
      </c>
      <c r="AT717">
        <v>13</v>
      </c>
      <c r="AU717">
        <v>3.1060000000000001E-2</v>
      </c>
      <c r="AV717">
        <v>-4.7800000000000004E-3</v>
      </c>
      <c r="AW717">
        <v>9.6439999999999998E-2</v>
      </c>
      <c r="AX717">
        <v>-1.456E-2</v>
      </c>
      <c r="AY717">
        <v>1.456E-2</v>
      </c>
      <c r="AZ717">
        <v>-2.5899999999999999E-3</v>
      </c>
      <c r="BA717">
        <v>0.15093999999999999</v>
      </c>
      <c r="BB717">
        <v>1</v>
      </c>
      <c r="BC717" t="s">
        <v>70</v>
      </c>
      <c r="BD717">
        <v>0.22600000000000001</v>
      </c>
      <c r="BE717">
        <v>-0.20799999999999999</v>
      </c>
      <c r="BF717" t="s">
        <v>71</v>
      </c>
      <c r="BG717">
        <v>0.120967741935483</v>
      </c>
      <c r="BI717">
        <v>38</v>
      </c>
      <c r="BJ717">
        <v>0.15093999999999999</v>
      </c>
      <c r="BK717">
        <v>0.120967741935483</v>
      </c>
    </row>
    <row r="718" spans="1:63">
      <c r="A718">
        <v>4062</v>
      </c>
      <c r="B718" t="s">
        <v>4040</v>
      </c>
      <c r="D718" t="s">
        <v>66</v>
      </c>
      <c r="E718">
        <v>4109188</v>
      </c>
      <c r="F718">
        <v>4109616</v>
      </c>
      <c r="G718" t="s">
        <v>4042</v>
      </c>
      <c r="H718">
        <v>143</v>
      </c>
      <c r="I718" t="s">
        <v>63</v>
      </c>
      <c r="J718">
        <v>5</v>
      </c>
      <c r="K718" t="str">
        <f>HYPERLINK("Gene4062-zp_tree_all.dnd", "Gene4062-tree")</f>
        <v>Gene4062-tree</v>
      </c>
      <c r="L718">
        <v>3</v>
      </c>
      <c r="M718">
        <v>2</v>
      </c>
      <c r="N718">
        <v>2</v>
      </c>
      <c r="O718">
        <v>2</v>
      </c>
      <c r="P718">
        <v>0.5</v>
      </c>
      <c r="Q718" t="s">
        <v>185</v>
      </c>
      <c r="R718" t="s">
        <v>124</v>
      </c>
      <c r="S718" t="s">
        <v>66</v>
      </c>
      <c r="T718" t="s">
        <v>66</v>
      </c>
      <c r="U718">
        <v>1</v>
      </c>
      <c r="V718">
        <v>2</v>
      </c>
      <c r="W718">
        <v>3</v>
      </c>
      <c r="X718">
        <v>0.4</v>
      </c>
      <c r="Y718">
        <v>0</v>
      </c>
      <c r="Z718">
        <v>0</v>
      </c>
      <c r="AA718">
        <v>0</v>
      </c>
      <c r="AB718">
        <v>3</v>
      </c>
      <c r="AC718">
        <v>0</v>
      </c>
      <c r="AD718">
        <v>0</v>
      </c>
      <c r="AE718">
        <v>0</v>
      </c>
      <c r="AF718">
        <v>0</v>
      </c>
      <c r="AG718">
        <v>2</v>
      </c>
      <c r="AH718">
        <v>0</v>
      </c>
      <c r="AI718">
        <v>4</v>
      </c>
      <c r="AJ718">
        <v>1</v>
      </c>
      <c r="AK718">
        <v>19</v>
      </c>
      <c r="AL718">
        <v>2</v>
      </c>
      <c r="AM718">
        <v>9</v>
      </c>
      <c r="AN718">
        <v>3</v>
      </c>
      <c r="AO718" t="s">
        <v>4043</v>
      </c>
      <c r="AP718" t="s">
        <v>4044</v>
      </c>
      <c r="AQ718">
        <v>3.3260000000000001</v>
      </c>
      <c r="AR718" t="s">
        <v>69</v>
      </c>
      <c r="AS718">
        <v>28</v>
      </c>
      <c r="AT718">
        <v>5</v>
      </c>
      <c r="AU718">
        <v>4.1860000000000001E-2</v>
      </c>
      <c r="AV718">
        <v>-5.8900000000000003E-3</v>
      </c>
      <c r="AW718">
        <v>0.17605999999999999</v>
      </c>
      <c r="AX718">
        <v>-2.3890000000000002E-2</v>
      </c>
      <c r="AY718">
        <v>9.1500000000000001E-3</v>
      </c>
      <c r="AZ718">
        <v>-1.14E-3</v>
      </c>
      <c r="BA718">
        <v>5.1979999999999998E-2</v>
      </c>
      <c r="BB718">
        <v>1</v>
      </c>
      <c r="BC718" t="s">
        <v>70</v>
      </c>
      <c r="BD718">
        <v>0.21099999999999999</v>
      </c>
      <c r="BE718">
        <v>-0.24099999999999999</v>
      </c>
      <c r="BF718" t="s">
        <v>71</v>
      </c>
      <c r="BG718">
        <v>0.13483146067415699</v>
      </c>
      <c r="BI718">
        <v>33</v>
      </c>
      <c r="BJ718">
        <v>5.1979999999999998E-2</v>
      </c>
      <c r="BK718">
        <v>0.13483146067415699</v>
      </c>
    </row>
    <row r="719" spans="1:63">
      <c r="A719">
        <v>4086</v>
      </c>
      <c r="B719" t="s">
        <v>4060</v>
      </c>
      <c r="D719" t="s">
        <v>66</v>
      </c>
      <c r="E719">
        <v>4134439</v>
      </c>
      <c r="F719">
        <v>4134915</v>
      </c>
      <c r="G719" t="s">
        <v>4062</v>
      </c>
      <c r="H719">
        <v>159</v>
      </c>
      <c r="I719" t="s">
        <v>106</v>
      </c>
      <c r="J719">
        <v>4</v>
      </c>
      <c r="K719" t="str">
        <f>HYPERLINK("Gene4086-zp_tree_all.dnd", "Gene4086-tree")</f>
        <v>Gene4086-tree</v>
      </c>
      <c r="L719">
        <v>3</v>
      </c>
      <c r="M719">
        <v>1</v>
      </c>
      <c r="N719">
        <v>3</v>
      </c>
      <c r="O719">
        <v>1</v>
      </c>
      <c r="P719">
        <v>0.25</v>
      </c>
      <c r="Q719" t="s">
        <v>86</v>
      </c>
      <c r="R719" t="s">
        <v>65</v>
      </c>
      <c r="S719" t="s">
        <v>66</v>
      </c>
      <c r="T719" t="s">
        <v>66</v>
      </c>
      <c r="U719">
        <v>0</v>
      </c>
      <c r="V719">
        <v>0</v>
      </c>
      <c r="W719">
        <v>2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0</v>
      </c>
      <c r="AD719">
        <v>0</v>
      </c>
      <c r="AE719">
        <v>0</v>
      </c>
      <c r="AF719">
        <v>0</v>
      </c>
      <c r="AG719">
        <v>1</v>
      </c>
      <c r="AH719">
        <v>0</v>
      </c>
      <c r="AI719">
        <v>4</v>
      </c>
      <c r="AJ719">
        <v>1</v>
      </c>
      <c r="AK719">
        <v>26</v>
      </c>
      <c r="AL719">
        <v>1</v>
      </c>
      <c r="AM719">
        <v>3</v>
      </c>
      <c r="AN719">
        <v>1</v>
      </c>
      <c r="AO719" t="s">
        <v>4063</v>
      </c>
      <c r="AP719" t="s">
        <v>4064</v>
      </c>
      <c r="AQ719">
        <v>5.2169999999999996</v>
      </c>
      <c r="AR719" t="s">
        <v>69</v>
      </c>
      <c r="AS719">
        <v>29</v>
      </c>
      <c r="AT719">
        <v>2</v>
      </c>
      <c r="AU719">
        <v>3.0589999999999999E-2</v>
      </c>
      <c r="AV719">
        <v>-1.8400000000000001E-3</v>
      </c>
      <c r="AW719">
        <v>0.13639999999999999</v>
      </c>
      <c r="AX719">
        <v>-9.4599999999999997E-3</v>
      </c>
      <c r="AY719">
        <v>3.1900000000000001E-3</v>
      </c>
      <c r="AZ719">
        <v>-5.5000000000000003E-4</v>
      </c>
      <c r="BA719">
        <v>2.3380000000000001E-2</v>
      </c>
      <c r="BB719">
        <v>1</v>
      </c>
      <c r="BC719" t="s">
        <v>70</v>
      </c>
      <c r="BD719">
        <v>0.65300000000000002</v>
      </c>
      <c r="BE719">
        <v>-0.48099999999999998</v>
      </c>
      <c r="BF719" t="s">
        <v>71</v>
      </c>
      <c r="BG719">
        <v>-2.3041474654377801E-2</v>
      </c>
      <c r="BI719">
        <v>31</v>
      </c>
      <c r="BJ719">
        <v>2.3380000000000001E-2</v>
      </c>
      <c r="BK719">
        <v>-2.3041474654377801E-2</v>
      </c>
    </row>
    <row r="720" spans="1:63">
      <c r="A720">
        <v>4087</v>
      </c>
      <c r="B720" t="s">
        <v>4065</v>
      </c>
      <c r="D720" t="s">
        <v>66</v>
      </c>
      <c r="E720">
        <v>4134999</v>
      </c>
      <c r="F720">
        <v>4135166</v>
      </c>
      <c r="G720" t="s">
        <v>74</v>
      </c>
      <c r="H720">
        <v>56</v>
      </c>
      <c r="I720" t="s">
        <v>63</v>
      </c>
      <c r="J720">
        <v>5</v>
      </c>
      <c r="K720" t="str">
        <f>HYPERLINK("Gene4087-zp_tree_all.dnd", "Gene4087-tree")</f>
        <v>Gene4087-tree</v>
      </c>
      <c r="L720">
        <v>4</v>
      </c>
      <c r="M720">
        <v>1</v>
      </c>
      <c r="N720">
        <v>3</v>
      </c>
      <c r="O720">
        <v>1</v>
      </c>
      <c r="P720">
        <v>0.25</v>
      </c>
      <c r="Q720" t="s">
        <v>112</v>
      </c>
      <c r="R720" t="s">
        <v>65</v>
      </c>
      <c r="S720" t="s">
        <v>66</v>
      </c>
      <c r="T720" t="s">
        <v>66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2</v>
      </c>
      <c r="AJ720">
        <v>1</v>
      </c>
      <c r="AK720">
        <v>4</v>
      </c>
      <c r="AL720">
        <v>1</v>
      </c>
      <c r="AM720">
        <v>1</v>
      </c>
      <c r="AN720">
        <v>0</v>
      </c>
      <c r="AO720" t="s">
        <v>4067</v>
      </c>
      <c r="AP720" t="s">
        <v>68</v>
      </c>
      <c r="AQ720">
        <v>1.1180000000000001</v>
      </c>
      <c r="AR720" t="s">
        <v>69</v>
      </c>
      <c r="AS720">
        <v>5</v>
      </c>
      <c r="AT720">
        <v>1</v>
      </c>
      <c r="AU720">
        <v>1.8849999999999999E-2</v>
      </c>
      <c r="AV720">
        <v>-4.7400000000000003E-3</v>
      </c>
      <c r="AW720">
        <v>7.9820000000000002E-2</v>
      </c>
      <c r="AX720">
        <v>-1.9060000000000001E-2</v>
      </c>
      <c r="AY720">
        <v>3.8E-3</v>
      </c>
      <c r="AZ720">
        <v>-1.5499999999999999E-3</v>
      </c>
      <c r="BA720">
        <v>4.7640000000000002E-2</v>
      </c>
      <c r="BB720">
        <v>1</v>
      </c>
      <c r="BC720" t="s">
        <v>70</v>
      </c>
      <c r="BD720">
        <v>-0.66800000000000004</v>
      </c>
      <c r="BE720">
        <v>-0.66800000000000004</v>
      </c>
      <c r="BF720" t="s">
        <v>71</v>
      </c>
      <c r="BG720">
        <v>5.4054054054054002E-2</v>
      </c>
      <c r="BI720">
        <v>6</v>
      </c>
      <c r="BJ720">
        <v>4.7640000000000002E-2</v>
      </c>
      <c r="BK720">
        <v>5.4054054054054002E-2</v>
      </c>
    </row>
    <row r="721" spans="1:63">
      <c r="A721">
        <v>4105</v>
      </c>
      <c r="B721" t="s">
        <v>4071</v>
      </c>
      <c r="D721" t="s">
        <v>66</v>
      </c>
      <c r="E721">
        <v>4151856</v>
      </c>
      <c r="F721">
        <v>4153688</v>
      </c>
      <c r="G721" t="s">
        <v>4001</v>
      </c>
      <c r="H721">
        <v>611</v>
      </c>
      <c r="I721" t="s">
        <v>85</v>
      </c>
      <c r="J721">
        <v>4</v>
      </c>
      <c r="K721" t="str">
        <f>HYPERLINK("Gene4105-zp_tree_all.dnd", "Gene4105-tree")</f>
        <v>Gene4105-tree</v>
      </c>
      <c r="L721">
        <v>3</v>
      </c>
      <c r="M721">
        <v>1</v>
      </c>
      <c r="N721">
        <v>3</v>
      </c>
      <c r="O721">
        <v>1</v>
      </c>
      <c r="P721">
        <v>0.25</v>
      </c>
      <c r="Q721" t="s">
        <v>86</v>
      </c>
      <c r="R721" t="s">
        <v>65</v>
      </c>
      <c r="S721" t="s">
        <v>66</v>
      </c>
      <c r="T721" t="s">
        <v>66</v>
      </c>
      <c r="U721">
        <v>0</v>
      </c>
      <c r="V721">
        <v>0</v>
      </c>
      <c r="W721">
        <v>5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5</v>
      </c>
      <c r="AH721">
        <v>0</v>
      </c>
      <c r="AI721">
        <v>4</v>
      </c>
      <c r="AJ721">
        <v>1</v>
      </c>
      <c r="AK721">
        <v>94</v>
      </c>
      <c r="AL721">
        <v>6</v>
      </c>
      <c r="AM721">
        <v>2</v>
      </c>
      <c r="AN721">
        <v>0</v>
      </c>
      <c r="AO721" t="s">
        <v>4073</v>
      </c>
      <c r="AP721" t="s">
        <v>68</v>
      </c>
      <c r="AQ721">
        <v>0.47</v>
      </c>
      <c r="AR721" t="s">
        <v>69</v>
      </c>
      <c r="AS721">
        <v>96</v>
      </c>
      <c r="AT721">
        <v>6</v>
      </c>
      <c r="AU721">
        <v>2.682E-2</v>
      </c>
      <c r="AV721">
        <v>-7.5500000000000003E-3</v>
      </c>
      <c r="AW721">
        <v>0.12856999999999999</v>
      </c>
      <c r="AX721">
        <v>-3.6760000000000001E-2</v>
      </c>
      <c r="AY721">
        <v>2.1099999999999999E-3</v>
      </c>
      <c r="AZ721">
        <v>-8.5999999999999998E-4</v>
      </c>
      <c r="BA721">
        <v>1.6400000000000001E-2</v>
      </c>
      <c r="BB721">
        <v>1</v>
      </c>
      <c r="BC721" t="s">
        <v>70</v>
      </c>
      <c r="BD721">
        <v>-0.53500000000000003</v>
      </c>
      <c r="BE721">
        <v>-0.63600000000000001</v>
      </c>
      <c r="BF721" t="s">
        <v>71</v>
      </c>
      <c r="BG721">
        <v>0.16</v>
      </c>
      <c r="BI721">
        <v>102</v>
      </c>
      <c r="BJ721">
        <v>1.6400000000000001E-2</v>
      </c>
      <c r="BK721">
        <v>0.16</v>
      </c>
    </row>
    <row r="722" spans="1:63">
      <c r="A722">
        <v>4106</v>
      </c>
      <c r="B722" t="s">
        <v>4074</v>
      </c>
      <c r="D722" t="s">
        <v>66</v>
      </c>
      <c r="E722">
        <v>4153699</v>
      </c>
      <c r="F722">
        <v>4154403</v>
      </c>
      <c r="G722" t="s">
        <v>645</v>
      </c>
      <c r="H722">
        <v>235</v>
      </c>
      <c r="I722" t="s">
        <v>63</v>
      </c>
      <c r="J722">
        <v>5</v>
      </c>
      <c r="K722" t="str">
        <f>HYPERLINK("Gene4106-zp_tree_all.dnd", "Gene4106-tree")</f>
        <v>Gene4106-tree</v>
      </c>
      <c r="L722">
        <v>5</v>
      </c>
      <c r="M722">
        <v>0</v>
      </c>
      <c r="N722">
        <v>5</v>
      </c>
      <c r="O722">
        <v>0</v>
      </c>
      <c r="P722">
        <v>0</v>
      </c>
      <c r="Q722" t="s">
        <v>96</v>
      </c>
      <c r="R722" t="s">
        <v>66</v>
      </c>
      <c r="S722" t="s">
        <v>66</v>
      </c>
      <c r="T722" t="s">
        <v>66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5</v>
      </c>
      <c r="AJ722">
        <v>2</v>
      </c>
      <c r="AK722">
        <v>23</v>
      </c>
      <c r="AL722">
        <v>0</v>
      </c>
      <c r="AM722">
        <v>14</v>
      </c>
      <c r="AN722">
        <v>0</v>
      </c>
      <c r="AO722" t="s">
        <v>68</v>
      </c>
      <c r="AP722" t="s">
        <v>68</v>
      </c>
      <c r="AQ722">
        <v>0</v>
      </c>
      <c r="AR722" t="s">
        <v>69</v>
      </c>
      <c r="AS722">
        <v>37</v>
      </c>
      <c r="AT722">
        <v>0</v>
      </c>
      <c r="AU722">
        <v>2.4680000000000001E-2</v>
      </c>
      <c r="AV722">
        <v>-3.8400000000000001E-3</v>
      </c>
      <c r="AW722">
        <v>0.12139999999999999</v>
      </c>
      <c r="AX722">
        <v>-1.9460000000000002E-2</v>
      </c>
      <c r="AY722">
        <v>0</v>
      </c>
      <c r="AZ722">
        <v>0</v>
      </c>
      <c r="BA722">
        <v>0</v>
      </c>
      <c r="BB722">
        <v>1</v>
      </c>
      <c r="BC722" t="s">
        <v>70</v>
      </c>
      <c r="BD722">
        <v>5.1999999999999998E-2</v>
      </c>
      <c r="BE722">
        <v>-0.122</v>
      </c>
      <c r="BF722" t="s">
        <v>71</v>
      </c>
      <c r="BG722">
        <v>4.70219435736677E-2</v>
      </c>
      <c r="BI722">
        <v>37</v>
      </c>
      <c r="BJ722">
        <v>0</v>
      </c>
      <c r="BK722">
        <v>4.70219435736677E-2</v>
      </c>
    </row>
    <row r="723" spans="1:63">
      <c r="A723">
        <v>4107</v>
      </c>
      <c r="B723" t="s">
        <v>4076</v>
      </c>
      <c r="D723" t="s">
        <v>66</v>
      </c>
      <c r="E723">
        <v>4155436</v>
      </c>
      <c r="F723">
        <v>4156725</v>
      </c>
      <c r="G723" t="s">
        <v>4078</v>
      </c>
      <c r="H723">
        <v>430</v>
      </c>
      <c r="I723" t="s">
        <v>63</v>
      </c>
      <c r="J723">
        <v>5</v>
      </c>
      <c r="K723" t="str">
        <f>HYPERLINK("Gene4107-zp_tree_all.dnd", "Gene4107-tree")</f>
        <v>Gene4107-tree</v>
      </c>
      <c r="L723">
        <v>2</v>
      </c>
      <c r="M723">
        <v>3</v>
      </c>
      <c r="N723">
        <v>2</v>
      </c>
      <c r="O723">
        <v>3</v>
      </c>
      <c r="P723">
        <v>0.6</v>
      </c>
      <c r="Q723" t="s">
        <v>124</v>
      </c>
      <c r="R723" t="s">
        <v>86</v>
      </c>
      <c r="S723" t="s">
        <v>66</v>
      </c>
      <c r="T723" t="s">
        <v>66</v>
      </c>
      <c r="U723">
        <v>0</v>
      </c>
      <c r="V723">
        <v>0</v>
      </c>
      <c r="W723">
        <v>6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6</v>
      </c>
      <c r="AH723">
        <v>0</v>
      </c>
      <c r="AI723">
        <v>5</v>
      </c>
      <c r="AJ723">
        <v>2</v>
      </c>
      <c r="AK723">
        <v>39</v>
      </c>
      <c r="AL723">
        <v>3</v>
      </c>
      <c r="AM723">
        <v>34</v>
      </c>
      <c r="AN723">
        <v>3</v>
      </c>
      <c r="AO723" t="s">
        <v>4079</v>
      </c>
      <c r="AP723" t="s">
        <v>4080</v>
      </c>
      <c r="AQ723">
        <v>6.2E-2</v>
      </c>
      <c r="AR723" t="s">
        <v>69</v>
      </c>
      <c r="AS723">
        <v>73</v>
      </c>
      <c r="AT723">
        <v>6</v>
      </c>
      <c r="AU723">
        <v>0.03</v>
      </c>
      <c r="AV723">
        <v>-5.3600000000000002E-3</v>
      </c>
      <c r="AW723">
        <v>0.12786</v>
      </c>
      <c r="AX723">
        <v>-2.3539999999999998E-2</v>
      </c>
      <c r="AY723">
        <v>3.0799999999999998E-3</v>
      </c>
      <c r="AZ723">
        <v>-5.5999999999999995E-4</v>
      </c>
      <c r="BA723">
        <v>2.4060000000000002E-2</v>
      </c>
      <c r="BB723">
        <v>1</v>
      </c>
      <c r="BC723" t="s">
        <v>70</v>
      </c>
      <c r="BD723">
        <v>0.255</v>
      </c>
      <c r="BE723">
        <v>0.154</v>
      </c>
      <c r="BF723" t="s">
        <v>71</v>
      </c>
      <c r="BG723">
        <v>0.101639344262295</v>
      </c>
      <c r="BI723">
        <v>79</v>
      </c>
      <c r="BJ723">
        <v>2.4060000000000002E-2</v>
      </c>
      <c r="BK723">
        <v>0.101639344262295</v>
      </c>
    </row>
    <row r="724" spans="1:63">
      <c r="A724">
        <v>4109</v>
      </c>
      <c r="B724" t="s">
        <v>4081</v>
      </c>
      <c r="D724" t="s">
        <v>66</v>
      </c>
      <c r="E724">
        <v>4157474</v>
      </c>
      <c r="F724">
        <v>4158835</v>
      </c>
      <c r="G724" t="s">
        <v>4083</v>
      </c>
      <c r="H724">
        <v>454</v>
      </c>
      <c r="I724" t="s">
        <v>63</v>
      </c>
      <c r="J724">
        <v>5</v>
      </c>
      <c r="K724" t="str">
        <f>HYPERLINK("Gene4109-zp_tree_all.dnd", "Gene4109-tree")</f>
        <v>Gene4109-tree</v>
      </c>
      <c r="L724">
        <v>3</v>
      </c>
      <c r="M724">
        <v>2</v>
      </c>
      <c r="N724">
        <v>3</v>
      </c>
      <c r="O724">
        <v>2</v>
      </c>
      <c r="P724">
        <v>0.4</v>
      </c>
      <c r="Q724" t="s">
        <v>86</v>
      </c>
      <c r="R724" t="s">
        <v>124</v>
      </c>
      <c r="S724" t="s">
        <v>66</v>
      </c>
      <c r="T724" t="s">
        <v>66</v>
      </c>
      <c r="U724">
        <v>0</v>
      </c>
      <c r="V724">
        <v>0</v>
      </c>
      <c r="W724">
        <v>3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0</v>
      </c>
      <c r="AD724">
        <v>0</v>
      </c>
      <c r="AE724">
        <v>0</v>
      </c>
      <c r="AF724">
        <v>0</v>
      </c>
      <c r="AG724">
        <v>2</v>
      </c>
      <c r="AH724">
        <v>0</v>
      </c>
      <c r="AI724">
        <v>4</v>
      </c>
      <c r="AJ724">
        <v>2</v>
      </c>
      <c r="AK724">
        <v>30</v>
      </c>
      <c r="AL724">
        <v>2</v>
      </c>
      <c r="AM724">
        <v>53</v>
      </c>
      <c r="AN724">
        <v>1</v>
      </c>
      <c r="AO724" t="s">
        <v>4084</v>
      </c>
      <c r="AP724" t="s">
        <v>4085</v>
      </c>
      <c r="AQ724">
        <v>1.137</v>
      </c>
      <c r="AR724" t="s">
        <v>69</v>
      </c>
      <c r="AS724">
        <v>83</v>
      </c>
      <c r="AT724">
        <v>3</v>
      </c>
      <c r="AU724">
        <v>3.1419999999999997E-2</v>
      </c>
      <c r="AV724">
        <v>-5.77E-3</v>
      </c>
      <c r="AW724">
        <v>0.14784</v>
      </c>
      <c r="AX724">
        <v>-2.8549999999999999E-2</v>
      </c>
      <c r="AY724">
        <v>1.34E-3</v>
      </c>
      <c r="AZ724">
        <v>-2.4000000000000001E-4</v>
      </c>
      <c r="BA724">
        <v>9.0900000000000009E-3</v>
      </c>
      <c r="BB724">
        <v>1</v>
      </c>
      <c r="BC724" t="s">
        <v>70</v>
      </c>
      <c r="BD724">
        <v>1.198</v>
      </c>
      <c r="BE724">
        <v>0.624</v>
      </c>
      <c r="BF724" t="s">
        <v>71</v>
      </c>
      <c r="BG724">
        <v>8.7878787878787806E-2</v>
      </c>
      <c r="BI724">
        <v>86</v>
      </c>
      <c r="BJ724">
        <v>9.0900000000000009E-3</v>
      </c>
      <c r="BK724">
        <v>8.7878787878787806E-2</v>
      </c>
    </row>
    <row r="725" spans="1:63">
      <c r="A725">
        <v>4115</v>
      </c>
      <c r="B725" t="s">
        <v>4088</v>
      </c>
      <c r="D725" t="s">
        <v>66</v>
      </c>
      <c r="E725">
        <v>4163200</v>
      </c>
      <c r="F725">
        <v>4163646</v>
      </c>
      <c r="G725" t="s">
        <v>4090</v>
      </c>
      <c r="H725">
        <v>149</v>
      </c>
      <c r="I725" t="s">
        <v>85</v>
      </c>
      <c r="J725">
        <v>4</v>
      </c>
      <c r="K725" t="str">
        <f>HYPERLINK("Gene4115-zp_tree_all.dnd", "Gene4115-tree")</f>
        <v>Gene4115-tree</v>
      </c>
      <c r="L725">
        <v>3</v>
      </c>
      <c r="M725">
        <v>1</v>
      </c>
      <c r="N725">
        <v>3</v>
      </c>
      <c r="O725">
        <v>1</v>
      </c>
      <c r="P725">
        <v>0.25</v>
      </c>
      <c r="Q725" t="s">
        <v>86</v>
      </c>
      <c r="R725" t="s">
        <v>65</v>
      </c>
      <c r="S725" t="s">
        <v>66</v>
      </c>
      <c r="T725" t="s">
        <v>66</v>
      </c>
      <c r="U725">
        <v>0</v>
      </c>
      <c r="V725">
        <v>0</v>
      </c>
      <c r="W725">
        <v>1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1</v>
      </c>
      <c r="AH725">
        <v>0</v>
      </c>
      <c r="AI725">
        <v>4</v>
      </c>
      <c r="AJ725">
        <v>1</v>
      </c>
      <c r="AK725">
        <v>18</v>
      </c>
      <c r="AL725">
        <v>1</v>
      </c>
      <c r="AM725">
        <v>4</v>
      </c>
      <c r="AN725">
        <v>0</v>
      </c>
      <c r="AO725" t="s">
        <v>4091</v>
      </c>
      <c r="AP725" t="s">
        <v>68</v>
      </c>
      <c r="AQ725">
        <v>0.436</v>
      </c>
      <c r="AR725" t="s">
        <v>69</v>
      </c>
      <c r="AS725">
        <v>22</v>
      </c>
      <c r="AT725">
        <v>1</v>
      </c>
      <c r="AU725">
        <v>2.7400000000000001E-2</v>
      </c>
      <c r="AV725">
        <v>-6.5300000000000002E-3</v>
      </c>
      <c r="AW725">
        <v>0.13471</v>
      </c>
      <c r="AX725">
        <v>-3.295E-2</v>
      </c>
      <c r="AY725">
        <v>1.4499999999999999E-3</v>
      </c>
      <c r="AZ725">
        <v>-5.9000000000000003E-4</v>
      </c>
      <c r="BA725">
        <v>1.073E-2</v>
      </c>
      <c r="BB725">
        <v>1</v>
      </c>
      <c r="BC725" t="s">
        <v>70</v>
      </c>
      <c r="BD725">
        <v>-0.311</v>
      </c>
      <c r="BE725">
        <v>-0.311</v>
      </c>
      <c r="BF725" t="s">
        <v>71</v>
      </c>
      <c r="BG725">
        <v>0.18947368421052599</v>
      </c>
      <c r="BI725">
        <v>23</v>
      </c>
      <c r="BJ725">
        <v>1.073E-2</v>
      </c>
      <c r="BK725">
        <v>0.18947368421052599</v>
      </c>
    </row>
    <row r="726" spans="1:63">
      <c r="A726">
        <v>4116</v>
      </c>
      <c r="B726" t="s">
        <v>4092</v>
      </c>
      <c r="D726" t="s">
        <v>66</v>
      </c>
      <c r="E726">
        <v>4163646</v>
      </c>
      <c r="F726">
        <v>4165622</v>
      </c>
      <c r="G726" t="s">
        <v>74</v>
      </c>
      <c r="H726">
        <v>659</v>
      </c>
      <c r="I726" t="s">
        <v>63</v>
      </c>
      <c r="J726">
        <v>5</v>
      </c>
      <c r="K726" t="str">
        <f>HYPERLINK("Gene4116-zp_tree_all.dnd", "Gene4116-tree")</f>
        <v>Gene4116-tree</v>
      </c>
      <c r="L726">
        <v>4</v>
      </c>
      <c r="M726">
        <v>1</v>
      </c>
      <c r="N726">
        <v>4</v>
      </c>
      <c r="O726">
        <v>1</v>
      </c>
      <c r="P726">
        <v>0.2</v>
      </c>
      <c r="Q726" t="s">
        <v>64</v>
      </c>
      <c r="R726" t="s">
        <v>65</v>
      </c>
      <c r="S726" t="s">
        <v>66</v>
      </c>
      <c r="T726" t="s">
        <v>66</v>
      </c>
      <c r="U726">
        <v>0</v>
      </c>
      <c r="V726">
        <v>0</v>
      </c>
      <c r="W726">
        <v>7</v>
      </c>
      <c r="X726">
        <v>0</v>
      </c>
      <c r="Y726">
        <v>0</v>
      </c>
      <c r="Z726">
        <v>0</v>
      </c>
      <c r="AA726">
        <v>0</v>
      </c>
      <c r="AB726">
        <v>5</v>
      </c>
      <c r="AC726">
        <v>0</v>
      </c>
      <c r="AD726">
        <v>0</v>
      </c>
      <c r="AE726">
        <v>0</v>
      </c>
      <c r="AF726">
        <v>0</v>
      </c>
      <c r="AG726">
        <v>2</v>
      </c>
      <c r="AH726">
        <v>0</v>
      </c>
      <c r="AI726">
        <v>5</v>
      </c>
      <c r="AJ726">
        <v>2</v>
      </c>
      <c r="AK726">
        <v>46</v>
      </c>
      <c r="AL726">
        <v>2</v>
      </c>
      <c r="AM726">
        <v>65</v>
      </c>
      <c r="AN726">
        <v>5</v>
      </c>
      <c r="AO726" t="s">
        <v>4094</v>
      </c>
      <c r="AP726" t="s">
        <v>4095</v>
      </c>
      <c r="AQ726">
        <v>0.23200000000000001</v>
      </c>
      <c r="AR726" t="s">
        <v>69</v>
      </c>
      <c r="AS726">
        <v>111</v>
      </c>
      <c r="AT726">
        <v>7</v>
      </c>
      <c r="AU726">
        <v>3.005E-2</v>
      </c>
      <c r="AV726">
        <v>-5.6299999999999996E-3</v>
      </c>
      <c r="AW726">
        <v>0.13503000000000001</v>
      </c>
      <c r="AX726">
        <v>-2.5760000000000002E-2</v>
      </c>
      <c r="AY726">
        <v>2.5200000000000001E-3</v>
      </c>
      <c r="AZ726">
        <v>-5.9999999999999995E-4</v>
      </c>
      <c r="BA726">
        <v>1.865E-2</v>
      </c>
      <c r="BB726">
        <v>1</v>
      </c>
      <c r="BC726" t="s">
        <v>70</v>
      </c>
      <c r="BD726">
        <v>0.79800000000000004</v>
      </c>
      <c r="BE726">
        <v>0.65600000000000003</v>
      </c>
      <c r="BF726" t="s">
        <v>71</v>
      </c>
      <c r="BG726">
        <v>0.13190529875986401</v>
      </c>
      <c r="BI726">
        <v>118</v>
      </c>
      <c r="BJ726">
        <v>1.865E-2</v>
      </c>
      <c r="BK726">
        <v>0.13190529875986401</v>
      </c>
    </row>
    <row r="727" spans="1:63">
      <c r="A727">
        <v>4117</v>
      </c>
      <c r="B727" t="s">
        <v>4096</v>
      </c>
      <c r="D727" t="s">
        <v>66</v>
      </c>
      <c r="E727">
        <v>4165662</v>
      </c>
      <c r="F727">
        <v>4166588</v>
      </c>
      <c r="G727" t="s">
        <v>74</v>
      </c>
      <c r="H727">
        <v>309</v>
      </c>
      <c r="I727" t="s">
        <v>63</v>
      </c>
      <c r="J727">
        <v>5</v>
      </c>
      <c r="K727" t="str">
        <f>HYPERLINK("Gene4117-zp_tree_all.dnd", "Gene4117-tree")</f>
        <v>Gene4117-tree</v>
      </c>
      <c r="L727">
        <v>1</v>
      </c>
      <c r="M727">
        <v>4</v>
      </c>
      <c r="N727">
        <v>1</v>
      </c>
      <c r="O727">
        <v>4</v>
      </c>
      <c r="P727">
        <v>0.8</v>
      </c>
      <c r="Q727" t="s">
        <v>65</v>
      </c>
      <c r="R727" t="s">
        <v>64</v>
      </c>
      <c r="S727" t="s">
        <v>66</v>
      </c>
      <c r="T727" t="s">
        <v>66</v>
      </c>
      <c r="U727">
        <v>2</v>
      </c>
      <c r="V727">
        <v>4</v>
      </c>
      <c r="W727">
        <v>20</v>
      </c>
      <c r="X727">
        <v>0.16667000000000001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4</v>
      </c>
      <c r="AF727">
        <v>4</v>
      </c>
      <c r="AG727">
        <v>20</v>
      </c>
      <c r="AH727">
        <v>0.16667000000000001</v>
      </c>
      <c r="AI727">
        <v>5</v>
      </c>
      <c r="AJ727">
        <v>2</v>
      </c>
      <c r="AK727">
        <v>15</v>
      </c>
      <c r="AL727">
        <v>11</v>
      </c>
      <c r="AM727">
        <v>21</v>
      </c>
      <c r="AN727">
        <v>13</v>
      </c>
      <c r="AO727" t="s">
        <v>4098</v>
      </c>
      <c r="AP727" t="s">
        <v>4099</v>
      </c>
      <c r="AQ727">
        <v>0.158</v>
      </c>
      <c r="AR727" t="s">
        <v>69</v>
      </c>
      <c r="AS727">
        <v>36</v>
      </c>
      <c r="AT727">
        <v>24</v>
      </c>
      <c r="AU727">
        <v>3.2689999999999997E-2</v>
      </c>
      <c r="AV727">
        <v>-5.9699999999999996E-3</v>
      </c>
      <c r="AW727">
        <v>9.0249999999999997E-2</v>
      </c>
      <c r="AX727">
        <v>-1.7469999999999999E-2</v>
      </c>
      <c r="AY727">
        <v>1.746E-2</v>
      </c>
      <c r="AZ727">
        <v>-3.1099999999999999E-3</v>
      </c>
      <c r="BA727">
        <v>0.19347</v>
      </c>
      <c r="BB727">
        <v>1</v>
      </c>
      <c r="BC727" t="s">
        <v>70</v>
      </c>
      <c r="BD727">
        <v>0.66800000000000004</v>
      </c>
      <c r="BE727">
        <v>0.53200000000000003</v>
      </c>
      <c r="BF727" t="s">
        <v>71</v>
      </c>
      <c r="BG727">
        <v>0.11936339522546401</v>
      </c>
      <c r="BI727">
        <v>60</v>
      </c>
      <c r="BJ727">
        <v>0.19347</v>
      </c>
      <c r="BK727">
        <v>0.11936339522546401</v>
      </c>
    </row>
    <row r="728" spans="1:63">
      <c r="A728">
        <v>4154</v>
      </c>
      <c r="B728" t="s">
        <v>4106</v>
      </c>
      <c r="D728" t="s">
        <v>66</v>
      </c>
      <c r="E728">
        <v>4198606</v>
      </c>
      <c r="F728">
        <v>4198842</v>
      </c>
      <c r="G728" t="s">
        <v>4108</v>
      </c>
      <c r="H728">
        <v>79</v>
      </c>
      <c r="I728" t="s">
        <v>63</v>
      </c>
      <c r="J728">
        <v>5</v>
      </c>
      <c r="K728" t="str">
        <f>HYPERLINK("Gene4154-zp_tree_all.dnd", "Gene4154-tree")</f>
        <v>Gene4154-tree</v>
      </c>
      <c r="L728">
        <v>5</v>
      </c>
      <c r="M728">
        <v>0</v>
      </c>
      <c r="N728">
        <v>4</v>
      </c>
      <c r="O728">
        <v>0</v>
      </c>
      <c r="P728">
        <v>0</v>
      </c>
      <c r="Q728" t="s">
        <v>135</v>
      </c>
      <c r="R728" t="s">
        <v>66</v>
      </c>
      <c r="S728" t="s">
        <v>66</v>
      </c>
      <c r="T728" t="s">
        <v>66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2</v>
      </c>
      <c r="AJ728">
        <v>1</v>
      </c>
      <c r="AK728">
        <v>3</v>
      </c>
      <c r="AL728">
        <v>0</v>
      </c>
      <c r="AM728">
        <v>2</v>
      </c>
      <c r="AN728">
        <v>0</v>
      </c>
      <c r="AO728" t="s">
        <v>68</v>
      </c>
      <c r="AP728" t="s">
        <v>68</v>
      </c>
      <c r="AQ728">
        <v>0</v>
      </c>
      <c r="AR728" t="s">
        <v>69</v>
      </c>
      <c r="AS728">
        <v>5</v>
      </c>
      <c r="AT728">
        <v>0</v>
      </c>
      <c r="AU728">
        <v>1.055E-2</v>
      </c>
      <c r="AV728">
        <v>-1.65E-3</v>
      </c>
      <c r="AW728">
        <v>4.3810000000000002E-2</v>
      </c>
      <c r="AX728">
        <v>-7.0200000000000002E-3</v>
      </c>
      <c r="AY728">
        <v>0</v>
      </c>
      <c r="AZ728">
        <v>0</v>
      </c>
      <c r="BA728">
        <v>0</v>
      </c>
      <c r="BB728">
        <v>1</v>
      </c>
      <c r="BC728" t="s">
        <v>70</v>
      </c>
      <c r="BD728">
        <v>0.95699999999999996</v>
      </c>
      <c r="BE728">
        <v>0.95699999999999996</v>
      </c>
      <c r="BF728" t="s">
        <v>71</v>
      </c>
      <c r="BG728">
        <v>4.67289719626168E-2</v>
      </c>
      <c r="BI728">
        <v>5</v>
      </c>
      <c r="BJ728">
        <v>0</v>
      </c>
      <c r="BK728">
        <v>4.67289719626168E-2</v>
      </c>
    </row>
    <row r="729" spans="1:63">
      <c r="A729">
        <v>4155</v>
      </c>
      <c r="B729" t="s">
        <v>4109</v>
      </c>
      <c r="D729" t="s">
        <v>66</v>
      </c>
      <c r="E729">
        <v>4198889</v>
      </c>
      <c r="F729">
        <v>4199404</v>
      </c>
      <c r="G729" t="s">
        <v>4111</v>
      </c>
      <c r="H729">
        <v>172</v>
      </c>
      <c r="I729" t="s">
        <v>63</v>
      </c>
      <c r="J729">
        <v>5</v>
      </c>
      <c r="K729" t="str">
        <f>HYPERLINK("Gene4155-zp_tree_all.dnd", "Gene4155-tree")</f>
        <v>Gene4155-tree</v>
      </c>
      <c r="L729">
        <v>4</v>
      </c>
      <c r="M729">
        <v>1</v>
      </c>
      <c r="N729">
        <v>3</v>
      </c>
      <c r="O729">
        <v>1</v>
      </c>
      <c r="P729">
        <v>0.25</v>
      </c>
      <c r="Q729" t="s">
        <v>112</v>
      </c>
      <c r="R729" t="s">
        <v>65</v>
      </c>
      <c r="S729" t="s">
        <v>66</v>
      </c>
      <c r="T729" t="s">
        <v>66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3</v>
      </c>
      <c r="AJ729">
        <v>1</v>
      </c>
      <c r="AK729">
        <v>6</v>
      </c>
      <c r="AL729">
        <v>1</v>
      </c>
      <c r="AM729">
        <v>2</v>
      </c>
      <c r="AN729">
        <v>0</v>
      </c>
      <c r="AO729" t="s">
        <v>4112</v>
      </c>
      <c r="AP729" t="s">
        <v>68</v>
      </c>
      <c r="AQ729">
        <v>0.79800000000000004</v>
      </c>
      <c r="AR729" t="s">
        <v>69</v>
      </c>
      <c r="AS729">
        <v>8</v>
      </c>
      <c r="AT729">
        <v>1</v>
      </c>
      <c r="AU729">
        <v>9.3699999999999999E-3</v>
      </c>
      <c r="AV729">
        <v>-1.5399999999999999E-3</v>
      </c>
      <c r="AW729">
        <v>3.8150000000000003E-2</v>
      </c>
      <c r="AX729">
        <v>-5.7999999999999996E-3</v>
      </c>
      <c r="AY729">
        <v>1.25E-3</v>
      </c>
      <c r="AZ729">
        <v>-5.1000000000000004E-4</v>
      </c>
      <c r="BA729">
        <v>3.2899999999999999E-2</v>
      </c>
      <c r="BB729">
        <v>1</v>
      </c>
      <c r="BC729" t="s">
        <v>70</v>
      </c>
      <c r="BD729">
        <v>-0.52600000000000002</v>
      </c>
      <c r="BE729">
        <v>-0.52600000000000002</v>
      </c>
      <c r="BF729" t="s">
        <v>71</v>
      </c>
      <c r="BG729">
        <v>9.4650205761316802E-2</v>
      </c>
      <c r="BI729">
        <v>9</v>
      </c>
      <c r="BJ729">
        <v>3.2899999999999999E-2</v>
      </c>
      <c r="BK729">
        <v>9.4650205761316802E-2</v>
      </c>
    </row>
    <row r="730" spans="1:63">
      <c r="A730">
        <v>4162</v>
      </c>
      <c r="B730" t="s">
        <v>4118</v>
      </c>
      <c r="D730" t="s">
        <v>66</v>
      </c>
      <c r="E730">
        <v>4205559</v>
      </c>
      <c r="F730">
        <v>4206404</v>
      </c>
      <c r="G730" t="s">
        <v>4120</v>
      </c>
      <c r="H730">
        <v>282</v>
      </c>
      <c r="I730" t="s">
        <v>85</v>
      </c>
      <c r="J730">
        <v>4</v>
      </c>
      <c r="K730" t="str">
        <f>HYPERLINK("Gene4162-zp_tree_all.dnd", "Gene4162-tree")</f>
        <v>Gene4162-tree</v>
      </c>
      <c r="L730">
        <v>0</v>
      </c>
      <c r="M730">
        <v>4</v>
      </c>
      <c r="N730">
        <v>0</v>
      </c>
      <c r="O730">
        <v>4</v>
      </c>
      <c r="P730">
        <v>1</v>
      </c>
      <c r="Q730" t="s">
        <v>66</v>
      </c>
      <c r="R730" t="s">
        <v>64</v>
      </c>
      <c r="S730" t="s">
        <v>66</v>
      </c>
      <c r="T730" t="s">
        <v>66</v>
      </c>
      <c r="U730">
        <v>0</v>
      </c>
      <c r="V730">
        <v>0</v>
      </c>
      <c r="W730">
        <v>6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7</v>
      </c>
      <c r="AH730">
        <v>0</v>
      </c>
      <c r="AI730">
        <v>4</v>
      </c>
      <c r="AJ730">
        <v>1</v>
      </c>
      <c r="AK730">
        <v>42</v>
      </c>
      <c r="AL730">
        <v>7</v>
      </c>
      <c r="AM730">
        <v>2</v>
      </c>
      <c r="AN730">
        <v>0</v>
      </c>
      <c r="AO730" t="s">
        <v>4121</v>
      </c>
      <c r="AP730" t="s">
        <v>68</v>
      </c>
      <c r="AQ730">
        <v>0.96399999999999997</v>
      </c>
      <c r="AR730" t="s">
        <v>69</v>
      </c>
      <c r="AS730">
        <v>44</v>
      </c>
      <c r="AT730">
        <v>7</v>
      </c>
      <c r="AU730">
        <v>3.0249999999999999E-2</v>
      </c>
      <c r="AV730">
        <v>-7.5700000000000003E-3</v>
      </c>
      <c r="AW730">
        <v>0.13017999999999999</v>
      </c>
      <c r="AX730">
        <v>-3.5830000000000001E-2</v>
      </c>
      <c r="AY730">
        <v>5.4000000000000003E-3</v>
      </c>
      <c r="AZ730">
        <v>-9.5E-4</v>
      </c>
      <c r="BA730">
        <v>4.1459999999999997E-2</v>
      </c>
      <c r="BB730">
        <v>1</v>
      </c>
      <c r="BC730" t="s">
        <v>70</v>
      </c>
      <c r="BD730">
        <v>-0.67700000000000005</v>
      </c>
      <c r="BE730">
        <v>-0.86699999999999999</v>
      </c>
      <c r="BF730" t="s">
        <v>71</v>
      </c>
      <c r="BG730">
        <v>8.0924855491329398E-2</v>
      </c>
      <c r="BI730">
        <v>51</v>
      </c>
      <c r="BJ730">
        <v>4.1459999999999997E-2</v>
      </c>
      <c r="BK730">
        <v>8.0924855491329398E-2</v>
      </c>
    </row>
    <row r="731" spans="1:63">
      <c r="A731">
        <v>4165</v>
      </c>
      <c r="B731" t="s">
        <v>4125</v>
      </c>
      <c r="D731" t="s">
        <v>66</v>
      </c>
      <c r="E731">
        <v>4207900</v>
      </c>
      <c r="F731">
        <v>4208748</v>
      </c>
      <c r="G731" t="s">
        <v>4127</v>
      </c>
      <c r="H731">
        <v>283</v>
      </c>
      <c r="I731" t="s">
        <v>63</v>
      </c>
      <c r="J731">
        <v>5</v>
      </c>
      <c r="K731" t="str">
        <f>HYPERLINK("Gene4165-zp_tree_all.dnd", "Gene4165-tree")</f>
        <v>Gene4165-tree</v>
      </c>
      <c r="L731">
        <v>4</v>
      </c>
      <c r="M731">
        <v>1</v>
      </c>
      <c r="N731">
        <v>4</v>
      </c>
      <c r="O731">
        <v>1</v>
      </c>
      <c r="P731">
        <v>0.2</v>
      </c>
      <c r="Q731" t="s">
        <v>64</v>
      </c>
      <c r="R731" t="s">
        <v>65</v>
      </c>
      <c r="S731" t="s">
        <v>66</v>
      </c>
      <c r="T731" t="s">
        <v>66</v>
      </c>
      <c r="U731">
        <v>0</v>
      </c>
      <c r="V731">
        <v>0</v>
      </c>
      <c r="W731">
        <v>3</v>
      </c>
      <c r="X731">
        <v>0</v>
      </c>
      <c r="Y731">
        <v>0</v>
      </c>
      <c r="Z731">
        <v>0</v>
      </c>
      <c r="AA731">
        <v>0</v>
      </c>
      <c r="AB731">
        <v>2</v>
      </c>
      <c r="AC731">
        <v>0</v>
      </c>
      <c r="AD731">
        <v>0</v>
      </c>
      <c r="AE731">
        <v>0</v>
      </c>
      <c r="AF731">
        <v>0</v>
      </c>
      <c r="AG731">
        <v>1</v>
      </c>
      <c r="AH731">
        <v>0</v>
      </c>
      <c r="AI731">
        <v>5</v>
      </c>
      <c r="AJ731">
        <v>2</v>
      </c>
      <c r="AK731">
        <v>10</v>
      </c>
      <c r="AL731">
        <v>1</v>
      </c>
      <c r="AM731">
        <v>22</v>
      </c>
      <c r="AN731">
        <v>2</v>
      </c>
      <c r="AO731" t="s">
        <v>4128</v>
      </c>
      <c r="AP731" t="s">
        <v>4129</v>
      </c>
      <c r="AQ731">
        <v>7.0000000000000007E-2</v>
      </c>
      <c r="AR731" t="s">
        <v>69</v>
      </c>
      <c r="AS731">
        <v>32</v>
      </c>
      <c r="AT731">
        <v>3</v>
      </c>
      <c r="AU731">
        <v>2.214E-2</v>
      </c>
      <c r="AV731">
        <v>-4.2900000000000004E-3</v>
      </c>
      <c r="AW731">
        <v>0.10086000000000001</v>
      </c>
      <c r="AX731">
        <v>-2.0129999999999999E-2</v>
      </c>
      <c r="AY731">
        <v>2.4199999999999998E-3</v>
      </c>
      <c r="AZ731">
        <v>-4.2000000000000002E-4</v>
      </c>
      <c r="BA731">
        <v>2.402E-2</v>
      </c>
      <c r="BB731">
        <v>1</v>
      </c>
      <c r="BC731" t="s">
        <v>70</v>
      </c>
      <c r="BD731">
        <v>0.89300000000000002</v>
      </c>
      <c r="BE731">
        <v>0.89300000000000002</v>
      </c>
      <c r="BF731" t="s">
        <v>71</v>
      </c>
      <c r="BG731">
        <v>9.6103896103896094E-2</v>
      </c>
      <c r="BI731">
        <v>35</v>
      </c>
      <c r="BJ731">
        <v>2.402E-2</v>
      </c>
      <c r="BK731">
        <v>9.6103896103896094E-2</v>
      </c>
    </row>
    <row r="732" spans="1:63">
      <c r="A732">
        <v>4166</v>
      </c>
      <c r="B732" t="s">
        <v>4130</v>
      </c>
      <c r="D732" t="s">
        <v>66</v>
      </c>
      <c r="E732">
        <v>4208873</v>
      </c>
      <c r="F732">
        <v>4209589</v>
      </c>
      <c r="G732" t="s">
        <v>4132</v>
      </c>
      <c r="H732">
        <v>239</v>
      </c>
      <c r="I732" t="s">
        <v>63</v>
      </c>
      <c r="J732">
        <v>5</v>
      </c>
      <c r="K732" t="str">
        <f>HYPERLINK("Gene4166-zp_tree_all.dnd", "Gene4166-tree")</f>
        <v>Gene4166-tree</v>
      </c>
      <c r="L732">
        <v>3</v>
      </c>
      <c r="M732">
        <v>2</v>
      </c>
      <c r="N732">
        <v>3</v>
      </c>
      <c r="O732">
        <v>2</v>
      </c>
      <c r="P732">
        <v>0.4</v>
      </c>
      <c r="Q732" t="s">
        <v>86</v>
      </c>
      <c r="R732" t="s">
        <v>124</v>
      </c>
      <c r="S732" t="s">
        <v>66</v>
      </c>
      <c r="T732" t="s">
        <v>66</v>
      </c>
      <c r="U732">
        <v>1</v>
      </c>
      <c r="V732">
        <v>2</v>
      </c>
      <c r="W732">
        <v>4</v>
      </c>
      <c r="X732">
        <v>0.33333000000000002</v>
      </c>
      <c r="Y732">
        <v>0</v>
      </c>
      <c r="Z732">
        <v>0</v>
      </c>
      <c r="AA732">
        <v>0</v>
      </c>
      <c r="AB732">
        <v>3</v>
      </c>
      <c r="AC732">
        <v>0</v>
      </c>
      <c r="AD732">
        <v>0</v>
      </c>
      <c r="AE732">
        <v>0</v>
      </c>
      <c r="AF732">
        <v>0</v>
      </c>
      <c r="AG732">
        <v>3</v>
      </c>
      <c r="AH732">
        <v>0</v>
      </c>
      <c r="AI732">
        <v>5</v>
      </c>
      <c r="AJ732">
        <v>2</v>
      </c>
      <c r="AK732">
        <v>24</v>
      </c>
      <c r="AL732">
        <v>3</v>
      </c>
      <c r="AM732">
        <v>25</v>
      </c>
      <c r="AN732">
        <v>4</v>
      </c>
      <c r="AO732" t="s">
        <v>4133</v>
      </c>
      <c r="AP732" t="s">
        <v>4134</v>
      </c>
      <c r="AQ732">
        <v>0.20599999999999999</v>
      </c>
      <c r="AR732" t="s">
        <v>69</v>
      </c>
      <c r="AS732">
        <v>49</v>
      </c>
      <c r="AT732">
        <v>7</v>
      </c>
      <c r="AU732">
        <v>3.8350000000000002E-2</v>
      </c>
      <c r="AV732">
        <v>-5.7000000000000002E-3</v>
      </c>
      <c r="AW732">
        <v>0.16822999999999999</v>
      </c>
      <c r="AX732">
        <v>-2.7310000000000001E-2</v>
      </c>
      <c r="AY732">
        <v>6.3600000000000002E-3</v>
      </c>
      <c r="AZ732">
        <v>-9.3999999999999997E-4</v>
      </c>
      <c r="BA732">
        <v>3.7789999999999997E-2</v>
      </c>
      <c r="BB732">
        <v>1</v>
      </c>
      <c r="BC732" t="s">
        <v>70</v>
      </c>
      <c r="BD732">
        <v>0.61199999999999999</v>
      </c>
      <c r="BE732">
        <v>0.46300000000000002</v>
      </c>
      <c r="BF732" t="s">
        <v>71</v>
      </c>
      <c r="BG732">
        <v>0.11945392491467501</v>
      </c>
      <c r="BI732">
        <v>56</v>
      </c>
      <c r="BJ732">
        <v>3.7789999999999997E-2</v>
      </c>
      <c r="BK732">
        <v>0.11945392491467501</v>
      </c>
    </row>
    <row r="733" spans="1:63">
      <c r="A733">
        <v>4167</v>
      </c>
      <c r="B733" t="s">
        <v>4135</v>
      </c>
      <c r="D733" t="s">
        <v>66</v>
      </c>
      <c r="E733">
        <v>4209606</v>
      </c>
      <c r="F733">
        <v>4211489</v>
      </c>
      <c r="G733" t="s">
        <v>4137</v>
      </c>
      <c r="H733">
        <v>628</v>
      </c>
      <c r="I733" t="s">
        <v>63</v>
      </c>
      <c r="J733">
        <v>5</v>
      </c>
      <c r="K733" t="str">
        <f>HYPERLINK("Gene4167-zp_tree_all.dnd", "Gene4167-tree")</f>
        <v>Gene4167-tree</v>
      </c>
      <c r="L733">
        <v>3</v>
      </c>
      <c r="M733">
        <v>2</v>
      </c>
      <c r="N733">
        <v>3</v>
      </c>
      <c r="O733">
        <v>2</v>
      </c>
      <c r="P733">
        <v>0.4</v>
      </c>
      <c r="Q733" t="s">
        <v>86</v>
      </c>
      <c r="R733" t="s">
        <v>124</v>
      </c>
      <c r="S733" t="s">
        <v>66</v>
      </c>
      <c r="T733" t="s">
        <v>66</v>
      </c>
      <c r="U733">
        <v>0</v>
      </c>
      <c r="V733">
        <v>0</v>
      </c>
      <c r="W733">
        <v>4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4</v>
      </c>
      <c r="AH733">
        <v>0</v>
      </c>
      <c r="AI733">
        <v>5</v>
      </c>
      <c r="AJ733">
        <v>2</v>
      </c>
      <c r="AK733">
        <v>61</v>
      </c>
      <c r="AL733">
        <v>4</v>
      </c>
      <c r="AM733">
        <v>57</v>
      </c>
      <c r="AN733">
        <v>0</v>
      </c>
      <c r="AO733" t="s">
        <v>4138</v>
      </c>
      <c r="AP733" t="s">
        <v>68</v>
      </c>
      <c r="AQ733">
        <v>0.90600000000000003</v>
      </c>
      <c r="AR733" t="s">
        <v>69</v>
      </c>
      <c r="AS733">
        <v>118</v>
      </c>
      <c r="AT733">
        <v>4</v>
      </c>
      <c r="AU733">
        <v>3.0089999999999999E-2</v>
      </c>
      <c r="AV733">
        <v>-4.3099999999999996E-3</v>
      </c>
      <c r="AW733">
        <v>0.13475999999999999</v>
      </c>
      <c r="AX733">
        <v>-2.0140000000000002E-2</v>
      </c>
      <c r="AY733">
        <v>1.33E-3</v>
      </c>
      <c r="AZ733">
        <v>-2.9999999999999997E-4</v>
      </c>
      <c r="BA733">
        <v>9.8799999999999999E-3</v>
      </c>
      <c r="BB733">
        <v>1</v>
      </c>
      <c r="BC733" t="s">
        <v>70</v>
      </c>
      <c r="BD733">
        <v>0.54700000000000004</v>
      </c>
      <c r="BE733">
        <v>0.115</v>
      </c>
      <c r="BF733" t="s">
        <v>71</v>
      </c>
      <c r="BG733">
        <v>6.7738231917336397E-2</v>
      </c>
      <c r="BI733">
        <v>122</v>
      </c>
      <c r="BJ733">
        <v>9.8799999999999999E-3</v>
      </c>
      <c r="BK733">
        <v>6.7738231917336397E-2</v>
      </c>
    </row>
    <row r="734" spans="1:63">
      <c r="A734">
        <v>4168</v>
      </c>
      <c r="B734" t="s">
        <v>4139</v>
      </c>
      <c r="D734" t="s">
        <v>66</v>
      </c>
      <c r="E734">
        <v>4211513</v>
      </c>
      <c r="F734">
        <v>4212889</v>
      </c>
      <c r="G734" t="s">
        <v>4141</v>
      </c>
      <c r="H734">
        <v>459</v>
      </c>
      <c r="I734" t="s">
        <v>63</v>
      </c>
      <c r="J734">
        <v>5</v>
      </c>
      <c r="K734" t="str">
        <f>HYPERLINK("Gene4168-zp_tree_all.dnd", "Gene4168-tree")</f>
        <v>Gene4168-tree</v>
      </c>
      <c r="L734">
        <v>3</v>
      </c>
      <c r="M734">
        <v>2</v>
      </c>
      <c r="N734">
        <v>3</v>
      </c>
      <c r="O734">
        <v>2</v>
      </c>
      <c r="P734">
        <v>0.4</v>
      </c>
      <c r="Q734" t="s">
        <v>86</v>
      </c>
      <c r="R734" t="s">
        <v>124</v>
      </c>
      <c r="S734" t="s">
        <v>66</v>
      </c>
      <c r="T734" t="s">
        <v>66</v>
      </c>
      <c r="U734">
        <v>0</v>
      </c>
      <c r="V734">
        <v>0</v>
      </c>
      <c r="W734">
        <v>7</v>
      </c>
      <c r="X734">
        <v>0</v>
      </c>
      <c r="Y734">
        <v>0</v>
      </c>
      <c r="Z734">
        <v>0</v>
      </c>
      <c r="AA734">
        <v>0</v>
      </c>
      <c r="AB734">
        <v>3</v>
      </c>
      <c r="AC734">
        <v>0</v>
      </c>
      <c r="AD734">
        <v>0</v>
      </c>
      <c r="AE734">
        <v>0</v>
      </c>
      <c r="AF734">
        <v>0</v>
      </c>
      <c r="AG734">
        <v>4</v>
      </c>
      <c r="AH734">
        <v>0</v>
      </c>
      <c r="AI734">
        <v>5</v>
      </c>
      <c r="AJ734">
        <v>2</v>
      </c>
      <c r="AK734">
        <v>40</v>
      </c>
      <c r="AL734">
        <v>4</v>
      </c>
      <c r="AM734">
        <v>44</v>
      </c>
      <c r="AN734">
        <v>3</v>
      </c>
      <c r="AO734" t="s">
        <v>4142</v>
      </c>
      <c r="AP734" t="s">
        <v>4143</v>
      </c>
      <c r="AQ734">
        <v>0.27900000000000003</v>
      </c>
      <c r="AR734" t="s">
        <v>69</v>
      </c>
      <c r="AS734">
        <v>84</v>
      </c>
      <c r="AT734">
        <v>7</v>
      </c>
      <c r="AU734">
        <v>3.0939999999999999E-2</v>
      </c>
      <c r="AV734">
        <v>-4.6299999999999996E-3</v>
      </c>
      <c r="AW734">
        <v>0.13449</v>
      </c>
      <c r="AX734">
        <v>-2.1680000000000001E-2</v>
      </c>
      <c r="AY734">
        <v>3.2399999999999998E-3</v>
      </c>
      <c r="AZ734">
        <v>-5.9000000000000003E-4</v>
      </c>
      <c r="BA734">
        <v>2.4109999999999999E-2</v>
      </c>
      <c r="BB734">
        <v>1</v>
      </c>
      <c r="BC734" t="s">
        <v>70</v>
      </c>
      <c r="BD734">
        <v>0.93600000000000005</v>
      </c>
      <c r="BE734">
        <v>0.29599999999999999</v>
      </c>
      <c r="BF734" t="s">
        <v>71</v>
      </c>
      <c r="BG734">
        <v>0.167721518987341</v>
      </c>
      <c r="BI734">
        <v>91</v>
      </c>
      <c r="BJ734">
        <v>2.4109999999999999E-2</v>
      </c>
      <c r="BK734">
        <v>0.167721518987341</v>
      </c>
    </row>
    <row r="735" spans="1:63">
      <c r="A735">
        <v>4170</v>
      </c>
      <c r="B735" t="s">
        <v>4144</v>
      </c>
      <c r="D735" t="s">
        <v>66</v>
      </c>
      <c r="E735">
        <v>4213826</v>
      </c>
      <c r="F735">
        <v>4214608</v>
      </c>
      <c r="G735" t="s">
        <v>4146</v>
      </c>
      <c r="H735">
        <v>261</v>
      </c>
      <c r="I735" t="s">
        <v>63</v>
      </c>
      <c r="J735">
        <v>5</v>
      </c>
      <c r="K735" t="str">
        <f>HYPERLINK("Gene4170-zp_tree_all.dnd", "Gene4170-tree")</f>
        <v>Gene4170-tree</v>
      </c>
      <c r="L735">
        <v>4</v>
      </c>
      <c r="M735">
        <v>1</v>
      </c>
      <c r="N735">
        <v>4</v>
      </c>
      <c r="O735">
        <v>1</v>
      </c>
      <c r="P735">
        <v>0.2</v>
      </c>
      <c r="Q735" t="s">
        <v>64</v>
      </c>
      <c r="R735" t="s">
        <v>65</v>
      </c>
      <c r="S735" t="s">
        <v>66</v>
      </c>
      <c r="T735" t="s">
        <v>66</v>
      </c>
      <c r="U735">
        <v>1</v>
      </c>
      <c r="V735">
        <v>2</v>
      </c>
      <c r="W735">
        <v>2</v>
      </c>
      <c r="X735">
        <v>0.5</v>
      </c>
      <c r="Y735">
        <v>0</v>
      </c>
      <c r="Z735">
        <v>0</v>
      </c>
      <c r="AA735">
        <v>0</v>
      </c>
      <c r="AB735">
        <v>2</v>
      </c>
      <c r="AC735">
        <v>0</v>
      </c>
      <c r="AD735">
        <v>0</v>
      </c>
      <c r="AE735">
        <v>0</v>
      </c>
      <c r="AF735">
        <v>0</v>
      </c>
      <c r="AG735">
        <v>2</v>
      </c>
      <c r="AH735">
        <v>0</v>
      </c>
      <c r="AI735">
        <v>5</v>
      </c>
      <c r="AJ735">
        <v>2</v>
      </c>
      <c r="AK735">
        <v>13</v>
      </c>
      <c r="AL735">
        <v>2</v>
      </c>
      <c r="AM735">
        <v>16</v>
      </c>
      <c r="AN735">
        <v>2</v>
      </c>
      <c r="AO735" t="s">
        <v>4147</v>
      </c>
      <c r="AP735" t="s">
        <v>4148</v>
      </c>
      <c r="AQ735">
        <v>0.111</v>
      </c>
      <c r="AR735" t="s">
        <v>69</v>
      </c>
      <c r="AS735">
        <v>29</v>
      </c>
      <c r="AT735">
        <v>4</v>
      </c>
      <c r="AU735">
        <v>2.095E-2</v>
      </c>
      <c r="AV735">
        <v>-3.2100000000000002E-3</v>
      </c>
      <c r="AW735">
        <v>9.5820000000000002E-2</v>
      </c>
      <c r="AX735">
        <v>-1.5789999999999998E-2</v>
      </c>
      <c r="AY735">
        <v>2.5999999999999999E-3</v>
      </c>
      <c r="AZ735">
        <v>-4.0999999999999999E-4</v>
      </c>
      <c r="BA735">
        <v>2.7179999999999999E-2</v>
      </c>
      <c r="BB735">
        <v>1</v>
      </c>
      <c r="BC735" t="s">
        <v>70</v>
      </c>
      <c r="BD735">
        <v>0.50700000000000001</v>
      </c>
      <c r="BE735">
        <v>0.50700000000000001</v>
      </c>
      <c r="BF735" t="s">
        <v>71</v>
      </c>
      <c r="BG735">
        <v>0.1125</v>
      </c>
      <c r="BI735">
        <v>33</v>
      </c>
      <c r="BJ735">
        <v>2.7179999999999999E-2</v>
      </c>
      <c r="BK735">
        <v>0.1125</v>
      </c>
    </row>
    <row r="736" spans="1:63">
      <c r="A736">
        <v>4171</v>
      </c>
      <c r="B736" t="s">
        <v>4149</v>
      </c>
      <c r="D736" t="s">
        <v>66</v>
      </c>
      <c r="E736">
        <v>4214756</v>
      </c>
      <c r="F736">
        <v>4215103</v>
      </c>
      <c r="G736" t="s">
        <v>4151</v>
      </c>
      <c r="H736">
        <v>116</v>
      </c>
      <c r="I736" t="s">
        <v>63</v>
      </c>
      <c r="J736">
        <v>5</v>
      </c>
      <c r="K736" t="str">
        <f>HYPERLINK("Gene4171-zp_tree_all.dnd", "Gene4171-tree")</f>
        <v>Gene4171-tree</v>
      </c>
      <c r="L736">
        <v>3</v>
      </c>
      <c r="M736">
        <v>2</v>
      </c>
      <c r="N736">
        <v>2</v>
      </c>
      <c r="O736">
        <v>2</v>
      </c>
      <c r="P736">
        <v>0.5</v>
      </c>
      <c r="Q736" t="s">
        <v>185</v>
      </c>
      <c r="R736" t="s">
        <v>124</v>
      </c>
      <c r="S736" t="s">
        <v>66</v>
      </c>
      <c r="T736" t="s">
        <v>66</v>
      </c>
      <c r="U736">
        <v>0</v>
      </c>
      <c r="V736">
        <v>0</v>
      </c>
      <c r="W736">
        <v>2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2</v>
      </c>
      <c r="AH736">
        <v>0</v>
      </c>
      <c r="AI736">
        <v>3</v>
      </c>
      <c r="AJ736">
        <v>1</v>
      </c>
      <c r="AK736">
        <v>3</v>
      </c>
      <c r="AL736">
        <v>2</v>
      </c>
      <c r="AM736">
        <v>10</v>
      </c>
      <c r="AN736">
        <v>0</v>
      </c>
      <c r="AO736" t="s">
        <v>4152</v>
      </c>
      <c r="AP736" t="s">
        <v>68</v>
      </c>
      <c r="AQ736">
        <v>1.48</v>
      </c>
      <c r="AR736" t="s">
        <v>69</v>
      </c>
      <c r="AS736">
        <v>13</v>
      </c>
      <c r="AT736">
        <v>2</v>
      </c>
      <c r="AU736">
        <v>2.538E-2</v>
      </c>
      <c r="AV736">
        <v>-5.3099999999999996E-3</v>
      </c>
      <c r="AW736">
        <v>0.11422</v>
      </c>
      <c r="AX736">
        <v>-2.75E-2</v>
      </c>
      <c r="AY736">
        <v>3.6900000000000001E-3</v>
      </c>
      <c r="AZ736">
        <v>-6.2E-4</v>
      </c>
      <c r="BA736">
        <v>3.227E-2</v>
      </c>
      <c r="BB736">
        <v>1</v>
      </c>
      <c r="BC736" t="s">
        <v>70</v>
      </c>
      <c r="BD736">
        <v>1.171</v>
      </c>
      <c r="BE736">
        <v>0.73799999999999999</v>
      </c>
      <c r="BF736" t="s">
        <v>71</v>
      </c>
      <c r="BG736">
        <v>0.14492753623188401</v>
      </c>
      <c r="BI736">
        <v>15</v>
      </c>
      <c r="BJ736">
        <v>3.227E-2</v>
      </c>
      <c r="BK736">
        <v>0.14492753623188401</v>
      </c>
    </row>
    <row r="3109" spans="60:60">
      <c r="BH3109" t="s">
        <v>4206</v>
      </c>
    </row>
    <row r="3112" spans="60:60">
      <c r="BH3112" t="s">
        <v>4168</v>
      </c>
    </row>
    <row r="3113" spans="60:60">
      <c r="BH3113" t="s">
        <v>4184</v>
      </c>
    </row>
  </sheetData>
  <sortState xmlns:xlrd2="http://schemas.microsoft.com/office/spreadsheetml/2017/richdata2" ref="A3:BF735">
    <sortCondition ref="E3:E735"/>
  </sortState>
  <mergeCells count="1">
    <mergeCell ref="CN3:CS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76"/>
  <sheetViews>
    <sheetView zoomScale="120" zoomScaleNormal="120" workbookViewId="0">
      <selection activeCell="H1" sqref="H1"/>
    </sheetView>
  </sheetViews>
  <sheetFormatPr baseColWidth="10" defaultColWidth="8.83203125" defaultRowHeight="15"/>
  <cols>
    <col min="2" max="2" width="12.83203125" customWidth="1"/>
    <col min="5" max="5" width="9.5" bestFit="1" customWidth="1"/>
    <col min="7" max="7" width="35.5" customWidth="1"/>
    <col min="8" max="8" width="15.6640625" bestFit="1" customWidth="1"/>
    <col min="9" max="9" width="30.5" bestFit="1" customWidth="1"/>
    <col min="11" max="11" width="16.1640625" customWidth="1"/>
    <col min="12" max="12" width="10.1640625" bestFit="1" customWidth="1"/>
    <col min="13" max="13" width="10.33203125" bestFit="1" customWidth="1"/>
    <col min="14" max="14" width="9.5" bestFit="1" customWidth="1"/>
    <col min="15" max="15" width="9.6640625" bestFit="1" customWidth="1"/>
    <col min="16" max="16" width="10.1640625" bestFit="1" customWidth="1"/>
    <col min="17" max="18" width="15.5" bestFit="1" customWidth="1"/>
    <col min="19" max="19" width="10.83203125" bestFit="1" customWidth="1"/>
    <col min="20" max="20" width="21.83203125" bestFit="1" customWidth="1"/>
    <col min="23" max="23" width="10.83203125" bestFit="1" customWidth="1"/>
    <col min="25" max="25" width="8.33203125" bestFit="1" customWidth="1"/>
    <col min="26" max="26" width="9.33203125" bestFit="1" customWidth="1"/>
    <col min="27" max="27" width="7" bestFit="1" customWidth="1"/>
    <col min="28" max="28" width="10.1640625" bestFit="1" customWidth="1"/>
    <col min="29" max="29" width="9.1640625" bestFit="1" customWidth="1"/>
    <col min="30" max="30" width="8.5" bestFit="1" customWidth="1"/>
    <col min="31" max="31" width="9.5" bestFit="1" customWidth="1"/>
    <col min="32" max="32" width="7.1640625" bestFit="1" customWidth="1"/>
    <col min="33" max="33" width="10.33203125" bestFit="1" customWidth="1"/>
    <col min="34" max="34" width="9.33203125" bestFit="1" customWidth="1"/>
    <col min="38" max="38" width="10.33203125" bestFit="1" customWidth="1"/>
    <col min="40" max="40" width="11.5" bestFit="1" customWidth="1"/>
    <col min="41" max="42" width="15.5" bestFit="1" customWidth="1"/>
    <col min="43" max="43" width="12.83203125" bestFit="1" customWidth="1"/>
    <col min="44" max="44" width="22" bestFit="1" customWidth="1"/>
    <col min="49" max="49" width="9.1640625" customWidth="1"/>
    <col min="54" max="54" width="10" bestFit="1" customWidth="1"/>
    <col min="55" max="55" width="18" bestFit="1" customWidth="1"/>
    <col min="59" max="59" width="21.5" customWidth="1"/>
    <col min="62" max="62" width="21.5" customWidth="1"/>
    <col min="66" max="66" width="19.1640625" bestFit="1" customWidth="1"/>
    <col min="67" max="67" width="18.83203125" customWidth="1"/>
    <col min="68" max="68" width="16.6640625" customWidth="1"/>
    <col min="76" max="76" width="10.6640625" bestFit="1" customWidth="1"/>
    <col min="77" max="78" width="14.33203125" customWidth="1"/>
    <col min="79" max="81" width="12.5" customWidth="1"/>
    <col min="82" max="82" width="22.6640625" customWidth="1"/>
    <col min="83" max="83" width="19.5" customWidth="1"/>
    <col min="84" max="84" width="12" bestFit="1" customWidth="1"/>
    <col min="86" max="86" width="12" customWidth="1"/>
    <col min="88" max="88" width="17.6640625" customWidth="1"/>
    <col min="89" max="90" width="12" customWidth="1"/>
    <col min="93" max="93" width="15.33203125" customWidth="1"/>
    <col min="94" max="98" width="15.83203125" customWidth="1"/>
    <col min="99" max="99" width="18" customWidth="1"/>
    <col min="100" max="100" width="19.5" customWidth="1"/>
    <col min="101" max="101" width="15.83203125" customWidth="1"/>
  </cols>
  <sheetData>
    <row r="1" spans="1:101">
      <c r="B1" t="s">
        <v>0</v>
      </c>
      <c r="H1">
        <f>COUNTIF(H4:H736,"&gt;200")</f>
        <v>69</v>
      </c>
      <c r="K1" t="s">
        <v>1</v>
      </c>
      <c r="U1" t="s">
        <v>2</v>
      </c>
      <c r="AI1" t="s">
        <v>3</v>
      </c>
      <c r="AS1" t="s">
        <v>4</v>
      </c>
    </row>
    <row r="2" spans="1:101" ht="16" thickBot="1">
      <c r="A2" t="s">
        <v>5</v>
      </c>
      <c r="B2" t="s">
        <v>6</v>
      </c>
      <c r="C2" t="s">
        <v>7</v>
      </c>
      <c r="D2" t="s">
        <v>8</v>
      </c>
      <c r="E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W2" t="s">
        <v>51</v>
      </c>
      <c r="AY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G2" t="s">
        <v>4207</v>
      </c>
      <c r="BI2" t="s">
        <v>53</v>
      </c>
      <c r="BJ2" t="s">
        <v>4207</v>
      </c>
    </row>
    <row r="3" spans="1:101">
      <c r="B3" t="s">
        <v>58</v>
      </c>
      <c r="BM3" t="s">
        <v>53</v>
      </c>
      <c r="BP3" s="52"/>
      <c r="BX3" s="1"/>
      <c r="BY3" s="2" t="s">
        <v>4165</v>
      </c>
      <c r="BZ3" s="2" t="s">
        <v>4166</v>
      </c>
      <c r="CA3" s="3" t="s">
        <v>4167</v>
      </c>
      <c r="CB3" s="9"/>
      <c r="CC3" s="6"/>
      <c r="CD3" s="36" t="s">
        <v>4203</v>
      </c>
      <c r="CE3" s="6"/>
      <c r="CF3" s="30" t="s">
        <v>4169</v>
      </c>
      <c r="CG3" s="7"/>
      <c r="CH3" s="30" t="s">
        <v>4170</v>
      </c>
      <c r="CI3" s="7"/>
      <c r="CJ3" s="21"/>
      <c r="CK3" s="29" t="s">
        <v>53</v>
      </c>
      <c r="CL3" s="32"/>
      <c r="CM3" s="32"/>
      <c r="CN3" s="34" t="s">
        <v>4174</v>
      </c>
      <c r="CO3" s="35"/>
      <c r="CP3" s="35"/>
      <c r="CQ3" s="35"/>
      <c r="CR3" s="35"/>
      <c r="CS3" s="35"/>
      <c r="CT3" s="35"/>
      <c r="CU3" s="35"/>
      <c r="CV3" s="36"/>
    </row>
    <row r="4" spans="1:101" ht="16" thickBot="1">
      <c r="A4">
        <v>2573</v>
      </c>
      <c r="B4" t="s">
        <v>2534</v>
      </c>
      <c r="D4" t="s">
        <v>60</v>
      </c>
      <c r="E4">
        <v>2602979</v>
      </c>
      <c r="F4">
        <v>2603272</v>
      </c>
      <c r="G4" t="s">
        <v>2536</v>
      </c>
      <c r="H4">
        <v>98</v>
      </c>
      <c r="I4" t="s">
        <v>63</v>
      </c>
      <c r="J4">
        <v>5</v>
      </c>
      <c r="K4" t="str">
        <f>HYPERLINK("Gene2573-zp_tree_all.dnd", "Gene2573-tree")</f>
        <v>Gene2573-tree</v>
      </c>
      <c r="L4">
        <v>2</v>
      </c>
      <c r="M4">
        <v>3</v>
      </c>
      <c r="N4">
        <v>2</v>
      </c>
      <c r="O4">
        <v>3</v>
      </c>
      <c r="P4">
        <v>0.6</v>
      </c>
      <c r="Q4" t="s">
        <v>124</v>
      </c>
      <c r="R4" t="s">
        <v>86</v>
      </c>
      <c r="S4" t="s">
        <v>66</v>
      </c>
      <c r="T4" t="s">
        <v>66</v>
      </c>
      <c r="U4">
        <v>0</v>
      </c>
      <c r="V4">
        <v>0</v>
      </c>
      <c r="W4">
        <v>7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I4">
        <v>4</v>
      </c>
      <c r="AJ4">
        <v>1</v>
      </c>
      <c r="AK4">
        <v>1</v>
      </c>
      <c r="AL4">
        <v>6</v>
      </c>
      <c r="AM4">
        <v>0</v>
      </c>
      <c r="AN4">
        <v>1</v>
      </c>
      <c r="AO4" t="s">
        <v>2537</v>
      </c>
      <c r="AP4" t="s">
        <v>68</v>
      </c>
      <c r="AQ4">
        <v>0.6</v>
      </c>
      <c r="AR4" t="s">
        <v>69</v>
      </c>
      <c r="AS4">
        <v>1</v>
      </c>
      <c r="AT4">
        <v>7</v>
      </c>
      <c r="AU4">
        <v>1.1679999999999999E-2</v>
      </c>
      <c r="AV4">
        <v>-1E-3</v>
      </c>
      <c r="AW4">
        <v>6.3600000000000002E-3</v>
      </c>
      <c r="AX4">
        <v>-2.2000000000000001E-3</v>
      </c>
      <c r="AY4">
        <v>1.333E-2</v>
      </c>
      <c r="AZ4">
        <v>-1.5399999999999999E-3</v>
      </c>
      <c r="BA4">
        <v>2.09653</v>
      </c>
      <c r="BB4">
        <v>0.14399999999999999</v>
      </c>
      <c r="BC4" t="s">
        <v>188</v>
      </c>
      <c r="BD4">
        <v>-0.80700000000000005</v>
      </c>
      <c r="BE4">
        <v>-0.80700000000000005</v>
      </c>
      <c r="BF4" t="s">
        <v>139</v>
      </c>
      <c r="BG4">
        <v>7.5187969924812E-3</v>
      </c>
      <c r="BI4">
        <v>2.09653</v>
      </c>
      <c r="BJ4">
        <v>7.5187969924812E-3</v>
      </c>
      <c r="BM4" t="s">
        <v>4208</v>
      </c>
      <c r="BN4" t="s">
        <v>4209</v>
      </c>
      <c r="BO4" t="s">
        <v>4210</v>
      </c>
      <c r="BP4" s="52"/>
      <c r="BX4" s="1" t="s">
        <v>4184</v>
      </c>
      <c r="BY4" s="2">
        <f>COUNTIF(BC:BC,"Purifying")</f>
        <v>164</v>
      </c>
      <c r="BZ4" s="4">
        <f>BY4/$BY$8</f>
        <v>0.94797687861271673</v>
      </c>
      <c r="CA4" s="5" t="s">
        <v>70</v>
      </c>
      <c r="CB4" s="9"/>
      <c r="CC4" s="18"/>
      <c r="CD4" s="20"/>
      <c r="CE4" s="18"/>
      <c r="CF4" s="19" t="s">
        <v>4175</v>
      </c>
      <c r="CG4" s="19" t="s">
        <v>4176</v>
      </c>
      <c r="CH4" s="19" t="s">
        <v>4175</v>
      </c>
      <c r="CI4" s="19" t="s">
        <v>4176</v>
      </c>
      <c r="CJ4" s="18"/>
      <c r="CK4" s="37" t="s">
        <v>4171</v>
      </c>
      <c r="CL4" s="37" t="s">
        <v>4185</v>
      </c>
      <c r="CM4" s="37" t="s">
        <v>4173</v>
      </c>
      <c r="CN4" s="18"/>
      <c r="CO4" s="19" t="s">
        <v>4177</v>
      </c>
      <c r="CP4" s="19" t="s">
        <v>4186</v>
      </c>
      <c r="CQ4" s="19" t="s">
        <v>4190</v>
      </c>
      <c r="CR4" s="37" t="s">
        <v>4201</v>
      </c>
      <c r="CS4" s="19" t="s">
        <v>4179</v>
      </c>
      <c r="CT4" s="19" t="s">
        <v>4187</v>
      </c>
      <c r="CU4" s="37" t="s">
        <v>4188</v>
      </c>
      <c r="CV4" s="38" t="s">
        <v>4191</v>
      </c>
    </row>
    <row r="5" spans="1:101">
      <c r="A5">
        <v>2739</v>
      </c>
      <c r="B5" t="s">
        <v>2641</v>
      </c>
      <c r="D5" t="s">
        <v>60</v>
      </c>
      <c r="E5">
        <v>2749260</v>
      </c>
      <c r="F5">
        <v>2749520</v>
      </c>
      <c r="G5" t="s">
        <v>74</v>
      </c>
      <c r="H5">
        <v>87</v>
      </c>
      <c r="I5" t="s">
        <v>85</v>
      </c>
      <c r="J5">
        <v>4</v>
      </c>
      <c r="K5" t="str">
        <f>HYPERLINK("Gene2739-zp_tree_all.dnd", "Gene2739-tree")</f>
        <v>Gene2739-tree</v>
      </c>
      <c r="L5">
        <v>0</v>
      </c>
      <c r="M5">
        <v>4</v>
      </c>
      <c r="N5">
        <v>0</v>
      </c>
      <c r="O5">
        <v>4</v>
      </c>
      <c r="P5">
        <v>1</v>
      </c>
      <c r="Q5" t="s">
        <v>66</v>
      </c>
      <c r="R5" t="s">
        <v>64</v>
      </c>
      <c r="S5" t="s">
        <v>66</v>
      </c>
      <c r="T5" t="s">
        <v>66</v>
      </c>
      <c r="U5">
        <v>1</v>
      </c>
      <c r="V5">
        <v>2</v>
      </c>
      <c r="W5">
        <v>8</v>
      </c>
      <c r="X5">
        <v>0.2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>
        <v>2</v>
      </c>
      <c r="AG5">
        <v>8</v>
      </c>
      <c r="AH5">
        <v>0.2</v>
      </c>
      <c r="AI5">
        <v>3</v>
      </c>
      <c r="AJ5">
        <v>1</v>
      </c>
      <c r="AK5">
        <v>2</v>
      </c>
      <c r="AL5">
        <v>10</v>
      </c>
      <c r="AM5">
        <v>1</v>
      </c>
      <c r="AN5">
        <v>1</v>
      </c>
      <c r="AO5" t="s">
        <v>2643</v>
      </c>
      <c r="AP5" t="s">
        <v>2644</v>
      </c>
      <c r="AQ5">
        <v>2.1589999999999998</v>
      </c>
      <c r="AR5" t="s">
        <v>239</v>
      </c>
      <c r="AS5">
        <v>3</v>
      </c>
      <c r="AT5">
        <v>11</v>
      </c>
      <c r="AU5">
        <v>2.81E-2</v>
      </c>
      <c r="AV5">
        <v>-4.1099999999999999E-3</v>
      </c>
      <c r="AW5">
        <v>2.9159999999999998E-2</v>
      </c>
      <c r="AX5">
        <v>-5.4400000000000004E-3</v>
      </c>
      <c r="AY5">
        <v>2.86E-2</v>
      </c>
      <c r="AZ5">
        <v>-4.4799999999999996E-3</v>
      </c>
      <c r="BA5">
        <v>0.98065999999999998</v>
      </c>
      <c r="BB5">
        <v>0.55700000000000005</v>
      </c>
      <c r="BC5" t="s">
        <v>188</v>
      </c>
      <c r="BD5">
        <v>-0.40300000000000002</v>
      </c>
      <c r="BE5">
        <v>-0.40300000000000002</v>
      </c>
      <c r="BF5" t="s">
        <v>139</v>
      </c>
      <c r="BG5">
        <v>0.116279069767441</v>
      </c>
      <c r="BI5">
        <v>0.98065999999999998</v>
      </c>
      <c r="BJ5">
        <v>0.116279069767441</v>
      </c>
      <c r="BP5" s="53" t="s">
        <v>4211</v>
      </c>
      <c r="BX5" s="8"/>
      <c r="BY5" s="9">
        <f>COUNTIF(BC:BC,"Neutral")</f>
        <v>9</v>
      </c>
      <c r="BZ5" s="10">
        <f>BY5/$BY$8</f>
        <v>5.2023121387283239E-2</v>
      </c>
      <c r="CA5" s="11" t="s">
        <v>188</v>
      </c>
      <c r="CB5" s="9"/>
      <c r="CC5" s="12" t="s">
        <v>4184</v>
      </c>
      <c r="CD5" s="13">
        <f>AVERAGE(AU4:AU176)</f>
        <v>2.7440173410404646E-2</v>
      </c>
      <c r="CE5" s="12" t="s">
        <v>4184</v>
      </c>
      <c r="CF5" s="9">
        <f>AVERAGE(AY4:AY176)</f>
        <v>6.6073988439306324E-3</v>
      </c>
      <c r="CG5" s="9">
        <f>STDEV(AY4:AY176)/SQRT(COUNTA(AY4:AY176))</f>
        <v>3.7955094103377167E-4</v>
      </c>
      <c r="CH5" s="9">
        <f>AVERAGE(AW4:AW176)</f>
        <v>0.11166901734104043</v>
      </c>
      <c r="CI5" s="9">
        <f>STDEV(AW4:AW176)/SQRT(COUNTA(AW4:AW176))</f>
        <v>2.7656480273264856E-3</v>
      </c>
      <c r="CJ5" s="12" t="s">
        <v>4184</v>
      </c>
      <c r="CK5" s="9">
        <f>AVERAGE(BA4:BA643)</f>
        <v>8.5847919075144496E-2</v>
      </c>
      <c r="CL5" s="9">
        <f>STDEV(BA4:BA643)</f>
        <v>0.18465670916864466</v>
      </c>
      <c r="CM5" s="9">
        <f>STDEV(BA4:BA643)/(SQRT(COUNTA(BA4:BA643)))</f>
        <v>1.4039189624891509E-2</v>
      </c>
      <c r="CN5" s="12" t="s">
        <v>4184</v>
      </c>
      <c r="CO5" s="9">
        <f>SUM(V4:V824)</f>
        <v>97</v>
      </c>
      <c r="CP5" s="9">
        <f>COUNTIF(V4:V824,"&gt;0")</f>
        <v>35</v>
      </c>
      <c r="CQ5" s="9">
        <f>SUM(H4:H176)</f>
        <v>34232</v>
      </c>
      <c r="CR5" s="9">
        <f>COUNTIF(BA:BA,"&gt;1")</f>
        <v>1</v>
      </c>
      <c r="CS5" s="9">
        <f>COUNTA(G4:G824)</f>
        <v>173</v>
      </c>
      <c r="CT5" s="22">
        <f>CO5/CS5</f>
        <v>0.56069364161849711</v>
      </c>
      <c r="CU5" s="9">
        <f>CP5/CS5</f>
        <v>0.20231213872832371</v>
      </c>
      <c r="CV5" s="13">
        <f>CO5/CQ5</f>
        <v>2.8336059827062396E-3</v>
      </c>
    </row>
    <row r="6" spans="1:101">
      <c r="A6">
        <v>1537</v>
      </c>
      <c r="B6" t="s">
        <v>1561</v>
      </c>
      <c r="D6" t="s">
        <v>66</v>
      </c>
      <c r="E6">
        <v>1575054</v>
      </c>
      <c r="F6">
        <v>1575236</v>
      </c>
      <c r="G6" t="s">
        <v>74</v>
      </c>
      <c r="H6">
        <v>61</v>
      </c>
      <c r="I6" t="s">
        <v>63</v>
      </c>
      <c r="J6">
        <v>5</v>
      </c>
      <c r="K6" t="str">
        <f>HYPERLINK("Gene1537-zp_tree_all.dnd", "Gene1537-tree")</f>
        <v>Gene1537-tree</v>
      </c>
      <c r="L6">
        <v>0</v>
      </c>
      <c r="M6">
        <v>5</v>
      </c>
      <c r="N6">
        <v>0</v>
      </c>
      <c r="O6">
        <v>4</v>
      </c>
      <c r="P6">
        <v>1</v>
      </c>
      <c r="Q6" t="s">
        <v>66</v>
      </c>
      <c r="R6" t="s">
        <v>135</v>
      </c>
      <c r="S6">
        <v>3.1949999999999998</v>
      </c>
      <c r="T6" t="s">
        <v>69</v>
      </c>
      <c r="U6">
        <v>1</v>
      </c>
      <c r="V6">
        <v>2</v>
      </c>
      <c r="W6">
        <v>3</v>
      </c>
      <c r="X6">
        <v>0.4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</v>
      </c>
      <c r="AF6">
        <v>2</v>
      </c>
      <c r="AG6">
        <v>3</v>
      </c>
      <c r="AH6">
        <v>0.4</v>
      </c>
      <c r="AI6">
        <v>3</v>
      </c>
      <c r="AJ6">
        <v>1</v>
      </c>
      <c r="AK6">
        <v>0</v>
      </c>
      <c r="AL6">
        <v>4</v>
      </c>
      <c r="AM6">
        <v>2</v>
      </c>
      <c r="AN6">
        <v>1</v>
      </c>
      <c r="AO6" t="s">
        <v>68</v>
      </c>
      <c r="AP6" t="s">
        <v>1563</v>
      </c>
      <c r="AQ6">
        <v>0</v>
      </c>
      <c r="AR6" t="s">
        <v>69</v>
      </c>
      <c r="AS6">
        <v>2</v>
      </c>
      <c r="AT6">
        <v>5</v>
      </c>
      <c r="AU6">
        <v>2.1860000000000001E-2</v>
      </c>
      <c r="AV6">
        <v>-3.64E-3</v>
      </c>
      <c r="AW6">
        <v>3.7659999999999999E-2</v>
      </c>
      <c r="AX6">
        <v>-8.8800000000000007E-3</v>
      </c>
      <c r="AY6">
        <v>1.8579999999999999E-2</v>
      </c>
      <c r="AZ6">
        <v>-2.7100000000000002E-3</v>
      </c>
      <c r="BA6">
        <v>0.49342000000000003</v>
      </c>
      <c r="BB6">
        <v>0.71799999999999997</v>
      </c>
      <c r="BC6" t="s">
        <v>188</v>
      </c>
      <c r="BD6">
        <v>8.3000000000000004E-2</v>
      </c>
      <c r="BE6">
        <v>8.3000000000000004E-2</v>
      </c>
      <c r="BF6" t="s">
        <v>139</v>
      </c>
      <c r="BG6">
        <v>-0.122807017543859</v>
      </c>
      <c r="BI6">
        <v>0.49342000000000003</v>
      </c>
      <c r="BJ6">
        <v>-0.122807017543859</v>
      </c>
      <c r="BL6">
        <f>BL7-0.05</f>
        <v>-0.54999999999999993</v>
      </c>
      <c r="BM6">
        <f>SUMIFS(BI:BI,BJ:BJ,"&lt;"&amp;BL7,BJ:BJ,"&gt;="&amp;BL6)</f>
        <v>0</v>
      </c>
      <c r="BN6">
        <f t="shared" ref="BN6:BN17" si="0">COUNTIFS(BJ:BJ,"&lt;"&amp;BL7,BJ:BJ,"&gt;="&amp;BL6)</f>
        <v>0</v>
      </c>
      <c r="BX6" s="8"/>
      <c r="BY6" s="9">
        <f>COUNTIF(BC:BC,"Positive")</f>
        <v>0</v>
      </c>
      <c r="BZ6" s="10">
        <f>BY6/$BY$8</f>
        <v>0</v>
      </c>
      <c r="CA6" s="11" t="s">
        <v>4180</v>
      </c>
      <c r="CB6" s="9"/>
      <c r="CC6" s="12" t="s">
        <v>4168</v>
      </c>
      <c r="CD6" s="13">
        <f>cd!$CD$5</f>
        <v>2.6353533424283763E-2</v>
      </c>
      <c r="CE6" s="12" t="s">
        <v>4168</v>
      </c>
      <c r="CF6" s="9">
        <f>cd!CF5</f>
        <v>4.6645020463847208E-3</v>
      </c>
      <c r="CG6" s="9">
        <f>cd!CG5</f>
        <v>1.5261320158900841E-4</v>
      </c>
      <c r="CH6" s="9">
        <f>cd!CH5</f>
        <v>0.11219564979480158</v>
      </c>
      <c r="CI6" s="9">
        <f>cd!CI5</f>
        <v>1.2524850908981543E-3</v>
      </c>
      <c r="CJ6" s="12" t="s">
        <v>4168</v>
      </c>
      <c r="CK6" s="9">
        <f>cd!CK5</f>
        <v>4.8152919508867666E-2</v>
      </c>
      <c r="CL6" s="9">
        <f>cd!CL5</f>
        <v>5.702722243906938E-2</v>
      </c>
      <c r="CM6" s="9">
        <f>cd!CM5</f>
        <v>2.1063485209153322E-3</v>
      </c>
      <c r="CN6" s="12" t="s">
        <v>4168</v>
      </c>
      <c r="CO6" s="9">
        <f>cd!CO5</f>
        <v>320</v>
      </c>
      <c r="CP6" s="9">
        <f>cd!CP5</f>
        <v>125</v>
      </c>
      <c r="CQ6" s="9">
        <f>cd!CQ5</f>
        <v>192109</v>
      </c>
      <c r="CR6" s="9">
        <f>COUNTIF(cd!BA:BA,"&gt;1")</f>
        <v>0</v>
      </c>
      <c r="CS6" s="9">
        <f>cd!CR5</f>
        <v>733</v>
      </c>
      <c r="CT6" s="22">
        <f>CO6/CS6</f>
        <v>0.43656207366984995</v>
      </c>
      <c r="CU6" s="9">
        <f>CP6/CS6</f>
        <v>0.17053206002728513</v>
      </c>
      <c r="CV6" s="13">
        <f>CO6/CQ6</f>
        <v>1.6657210229609233E-3</v>
      </c>
    </row>
    <row r="7" spans="1:101" ht="16" thickBot="1">
      <c r="A7">
        <v>534</v>
      </c>
      <c r="B7" t="s">
        <v>776</v>
      </c>
      <c r="D7" t="s">
        <v>66</v>
      </c>
      <c r="E7">
        <v>574109</v>
      </c>
      <c r="F7">
        <v>574435</v>
      </c>
      <c r="G7" t="s">
        <v>618</v>
      </c>
      <c r="H7">
        <v>109</v>
      </c>
      <c r="I7" t="s">
        <v>85</v>
      </c>
      <c r="J7">
        <v>4</v>
      </c>
      <c r="K7" t="str">
        <f>HYPERLINK("Gene534-zp_tree_all.dnd", "Gene534-tree")</f>
        <v>Gene534-tree</v>
      </c>
      <c r="L7">
        <v>0</v>
      </c>
      <c r="M7">
        <v>4</v>
      </c>
      <c r="N7">
        <v>0</v>
      </c>
      <c r="O7">
        <v>4</v>
      </c>
      <c r="P7">
        <v>1</v>
      </c>
      <c r="Q7" t="s">
        <v>66</v>
      </c>
      <c r="R7" t="s">
        <v>64</v>
      </c>
      <c r="S7" t="s">
        <v>66</v>
      </c>
      <c r="T7" t="s">
        <v>66</v>
      </c>
      <c r="U7">
        <v>3</v>
      </c>
      <c r="V7">
        <v>6</v>
      </c>
      <c r="W7">
        <v>5</v>
      </c>
      <c r="X7">
        <v>0.54544999999999999</v>
      </c>
      <c r="Y7">
        <v>0</v>
      </c>
      <c r="Z7">
        <v>0</v>
      </c>
      <c r="AA7">
        <v>0</v>
      </c>
      <c r="AB7">
        <v>0</v>
      </c>
      <c r="AC7">
        <v>0</v>
      </c>
      <c r="AD7">
        <v>4</v>
      </c>
      <c r="AE7">
        <v>2</v>
      </c>
      <c r="AF7">
        <v>6</v>
      </c>
      <c r="AG7">
        <v>5</v>
      </c>
      <c r="AH7">
        <v>0.54544999999999999</v>
      </c>
      <c r="AI7">
        <v>4</v>
      </c>
      <c r="AJ7">
        <v>1</v>
      </c>
      <c r="AK7">
        <v>4</v>
      </c>
      <c r="AL7">
        <v>10</v>
      </c>
      <c r="AM7">
        <v>1</v>
      </c>
      <c r="AN7">
        <v>1</v>
      </c>
      <c r="AO7" t="s">
        <v>778</v>
      </c>
      <c r="AP7" t="s">
        <v>779</v>
      </c>
      <c r="AQ7">
        <v>0.36799999999999999</v>
      </c>
      <c r="AR7" t="s">
        <v>69</v>
      </c>
      <c r="AS7">
        <v>5</v>
      </c>
      <c r="AT7">
        <v>11</v>
      </c>
      <c r="AU7">
        <v>2.366E-2</v>
      </c>
      <c r="AV7">
        <v>-3.8300000000000001E-3</v>
      </c>
      <c r="AW7">
        <v>4.0390000000000002E-2</v>
      </c>
      <c r="AX7">
        <v>-1.2840000000000001E-2</v>
      </c>
      <c r="AY7">
        <v>1.9869999999999999E-2</v>
      </c>
      <c r="AZ7">
        <v>-1.64E-3</v>
      </c>
      <c r="BA7">
        <v>0.49206</v>
      </c>
      <c r="BB7">
        <v>0.84399999999999997</v>
      </c>
      <c r="BC7" t="s">
        <v>188</v>
      </c>
      <c r="BD7">
        <v>0.04</v>
      </c>
      <c r="BE7">
        <v>0.04</v>
      </c>
      <c r="BF7" t="s">
        <v>139</v>
      </c>
      <c r="BG7">
        <v>-0.10204081632653</v>
      </c>
      <c r="BI7">
        <v>0.49206</v>
      </c>
      <c r="BJ7">
        <v>-0.10204081632653</v>
      </c>
      <c r="BL7">
        <f>BL8-0.05</f>
        <v>-0.49999999999999994</v>
      </c>
      <c r="BM7">
        <f t="shared" ref="BM7:BM17" si="1">SUMIFS(BI:BI,BJ:BJ,"&lt;"&amp;BL8,BJ:BJ,"&gt;="&amp;BL7)</f>
        <v>0</v>
      </c>
      <c r="BN7">
        <f t="shared" si="0"/>
        <v>0</v>
      </c>
      <c r="BX7" s="8"/>
      <c r="BY7" s="14">
        <f>COUNTA(BC4:BC2915)</f>
        <v>173</v>
      </c>
      <c r="BZ7" s="17"/>
      <c r="CA7" s="11" t="s">
        <v>4181</v>
      </c>
      <c r="CB7" s="9"/>
      <c r="CC7" s="18" t="s">
        <v>4204</v>
      </c>
      <c r="CD7" s="20">
        <f>MATCHED!$BG$5</f>
        <v>2.6561026490066225E-2</v>
      </c>
      <c r="CE7" s="18"/>
      <c r="CF7" s="19">
        <f>TTEST(AY4:AY176,cd!AY4:AY736,2,2)</f>
        <v>1.2105880567664775E-7</v>
      </c>
      <c r="CG7" s="19"/>
      <c r="CH7" s="19"/>
      <c r="CI7" s="19"/>
      <c r="CJ7" s="18"/>
      <c r="CK7" s="19">
        <f>TTEST(BA4:BA176,cd!BA4:BA736,2,2)</f>
        <v>3.4765366495150294E-6</v>
      </c>
      <c r="CL7" s="19"/>
      <c r="CM7" s="19"/>
      <c r="CN7" s="18"/>
      <c r="CO7" s="19"/>
      <c r="CP7" s="19"/>
      <c r="CQ7" s="19"/>
      <c r="CR7" s="19"/>
      <c r="CS7" s="19"/>
      <c r="CT7" s="19"/>
      <c r="CU7" s="19">
        <f>CU5/CU6</f>
        <v>1.1863583815028902</v>
      </c>
      <c r="CV7" s="20"/>
    </row>
    <row r="8" spans="1:101">
      <c r="A8">
        <v>1137</v>
      </c>
      <c r="B8" t="s">
        <v>1189</v>
      </c>
      <c r="D8" t="s">
        <v>66</v>
      </c>
      <c r="E8">
        <v>1204734</v>
      </c>
      <c r="F8">
        <v>1204916</v>
      </c>
      <c r="G8" t="s">
        <v>74</v>
      </c>
      <c r="H8">
        <v>61</v>
      </c>
      <c r="I8" t="s">
        <v>63</v>
      </c>
      <c r="J8">
        <v>5</v>
      </c>
      <c r="K8" t="str">
        <f>HYPERLINK("Gene1137-zp_tree_all.dnd", "Gene1137-tree")</f>
        <v>Gene1137-tree</v>
      </c>
      <c r="L8">
        <v>2</v>
      </c>
      <c r="M8">
        <v>3</v>
      </c>
      <c r="N8">
        <v>2</v>
      </c>
      <c r="O8">
        <v>2</v>
      </c>
      <c r="P8">
        <v>0.5</v>
      </c>
      <c r="Q8" t="s">
        <v>124</v>
      </c>
      <c r="R8" t="s">
        <v>185</v>
      </c>
      <c r="S8">
        <v>0.30599999999999999</v>
      </c>
      <c r="T8" t="s">
        <v>69</v>
      </c>
      <c r="U8">
        <v>0</v>
      </c>
      <c r="V8">
        <v>0</v>
      </c>
      <c r="W8">
        <v>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</v>
      </c>
      <c r="AH8">
        <v>0</v>
      </c>
      <c r="AI8">
        <v>2</v>
      </c>
      <c r="AJ8">
        <v>1</v>
      </c>
      <c r="AK8">
        <v>1</v>
      </c>
      <c r="AL8">
        <v>1</v>
      </c>
      <c r="AM8">
        <v>2</v>
      </c>
      <c r="AN8">
        <v>3</v>
      </c>
      <c r="AO8" t="s">
        <v>1191</v>
      </c>
      <c r="AP8" t="s">
        <v>1192</v>
      </c>
      <c r="AQ8">
        <v>0.34499999999999997</v>
      </c>
      <c r="AR8" t="s">
        <v>69</v>
      </c>
      <c r="AS8">
        <v>3</v>
      </c>
      <c r="AT8">
        <v>4</v>
      </c>
      <c r="AU8">
        <v>2.368E-2</v>
      </c>
      <c r="AV8">
        <v>-5.4099999999999999E-3</v>
      </c>
      <c r="AW8">
        <v>4.7309999999999998E-2</v>
      </c>
      <c r="AX8">
        <v>-8.2100000000000003E-3</v>
      </c>
      <c r="AY8">
        <v>1.7819999999999999E-2</v>
      </c>
      <c r="AZ8">
        <v>-4.3800000000000002E-3</v>
      </c>
      <c r="BA8">
        <v>0.37663000000000002</v>
      </c>
      <c r="BB8">
        <v>0.73299999999999998</v>
      </c>
      <c r="BC8" t="s">
        <v>188</v>
      </c>
      <c r="BD8">
        <v>0.91300000000000003</v>
      </c>
      <c r="BE8">
        <v>0.91300000000000003</v>
      </c>
      <c r="BF8" t="s">
        <v>139</v>
      </c>
      <c r="BG8">
        <v>1.4925373134328301E-2</v>
      </c>
      <c r="BI8">
        <v>0.37663000000000002</v>
      </c>
      <c r="BJ8">
        <v>1.4925373134328301E-2</v>
      </c>
      <c r="BL8">
        <f>BL9-0.05</f>
        <v>-0.44999999999999996</v>
      </c>
      <c r="BM8">
        <f t="shared" si="1"/>
        <v>0</v>
      </c>
      <c r="BN8">
        <f t="shared" si="0"/>
        <v>0</v>
      </c>
      <c r="BX8" s="23"/>
      <c r="BY8" s="14">
        <f>SUM(BY4:BY6)</f>
        <v>173</v>
      </c>
      <c r="BZ8" s="17"/>
      <c r="CA8" s="3" t="s">
        <v>4182</v>
      </c>
      <c r="CB8" s="9"/>
      <c r="CC8" s="9"/>
      <c r="CD8" s="9"/>
      <c r="CE8" t="s">
        <v>4196</v>
      </c>
      <c r="CF8">
        <v>-86.558700000000002</v>
      </c>
      <c r="CJ8" t="s">
        <v>4196</v>
      </c>
      <c r="CK8" s="9">
        <v>-2.6564000000000001</v>
      </c>
      <c r="CL8" s="9"/>
      <c r="CM8" s="9"/>
      <c r="CN8" s="9"/>
      <c r="CO8" s="9"/>
      <c r="CP8" s="9"/>
      <c r="CQ8" s="33"/>
      <c r="CR8" s="33"/>
      <c r="CS8" s="33"/>
      <c r="CT8" s="33"/>
      <c r="CU8" s="33"/>
      <c r="CV8" s="33"/>
    </row>
    <row r="9" spans="1:101">
      <c r="A9">
        <v>3341</v>
      </c>
      <c r="B9" t="s">
        <v>3357</v>
      </c>
      <c r="D9" t="s">
        <v>60</v>
      </c>
      <c r="E9">
        <v>3372569</v>
      </c>
      <c r="F9">
        <v>3372712</v>
      </c>
      <c r="G9" t="s">
        <v>74</v>
      </c>
      <c r="H9">
        <v>48</v>
      </c>
      <c r="I9" t="s">
        <v>63</v>
      </c>
      <c r="J9">
        <v>5</v>
      </c>
      <c r="K9" t="str">
        <f>HYPERLINK("Gene3341-zp_tree_all.dnd", "Gene3341-tree")</f>
        <v>Gene3341-tree</v>
      </c>
      <c r="L9">
        <v>3</v>
      </c>
      <c r="M9">
        <v>2</v>
      </c>
      <c r="N9">
        <v>3</v>
      </c>
      <c r="O9">
        <v>2</v>
      </c>
      <c r="P9">
        <v>0.4</v>
      </c>
      <c r="Q9" t="s">
        <v>86</v>
      </c>
      <c r="R9" t="s">
        <v>124</v>
      </c>
      <c r="S9" t="s">
        <v>66</v>
      </c>
      <c r="T9" t="s">
        <v>66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0</v>
      </c>
      <c r="AI9">
        <v>3</v>
      </c>
      <c r="AJ9">
        <v>1</v>
      </c>
      <c r="AK9">
        <v>1</v>
      </c>
      <c r="AL9">
        <v>3</v>
      </c>
      <c r="AM9">
        <v>1</v>
      </c>
      <c r="AN9">
        <v>0</v>
      </c>
      <c r="AO9" t="s">
        <v>3359</v>
      </c>
      <c r="AP9" t="s">
        <v>68</v>
      </c>
      <c r="AQ9">
        <v>0.64900000000000002</v>
      </c>
      <c r="AR9" t="s">
        <v>69</v>
      </c>
      <c r="AS9">
        <v>2</v>
      </c>
      <c r="AT9">
        <v>3</v>
      </c>
      <c r="AU9">
        <v>1.528E-2</v>
      </c>
      <c r="AV9">
        <v>-2.3700000000000001E-3</v>
      </c>
      <c r="AW9">
        <v>3.2910000000000002E-2</v>
      </c>
      <c r="AX9">
        <v>-5.7999999999999996E-3</v>
      </c>
      <c r="AY9">
        <v>1.078E-2</v>
      </c>
      <c r="AZ9">
        <v>-2.7899999999999999E-3</v>
      </c>
      <c r="BA9">
        <v>0.32752999999999999</v>
      </c>
      <c r="BB9">
        <v>0.85099999999999998</v>
      </c>
      <c r="BC9" t="s">
        <v>188</v>
      </c>
      <c r="BD9">
        <v>-0.56200000000000006</v>
      </c>
      <c r="BE9">
        <v>-0.56200000000000006</v>
      </c>
      <c r="BF9" t="s">
        <v>139</v>
      </c>
      <c r="BG9">
        <v>-0.12676056338028099</v>
      </c>
      <c r="BI9">
        <v>0.32752999999999999</v>
      </c>
      <c r="BJ9">
        <v>-0.12676056338028099</v>
      </c>
      <c r="BL9">
        <f t="shared" ref="BL9:BL14" si="2">BL10-0.05</f>
        <v>-0.39999999999999997</v>
      </c>
      <c r="BM9">
        <f t="shared" si="1"/>
        <v>3.5470000000000002E-2</v>
      </c>
      <c r="BN9">
        <f t="shared" si="0"/>
        <v>1</v>
      </c>
      <c r="BO9">
        <f t="shared" ref="BO9:BO21" si="3">BM9/BN9</f>
        <v>3.5470000000000002E-2</v>
      </c>
      <c r="BP9">
        <v>3.5799999999999998E-2</v>
      </c>
      <c r="BX9" s="23"/>
      <c r="BY9" s="24" t="s">
        <v>4165</v>
      </c>
      <c r="BZ9" s="25" t="s">
        <v>4166</v>
      </c>
      <c r="CA9" s="5" t="s">
        <v>4167</v>
      </c>
      <c r="CB9" s="9"/>
      <c r="CC9" s="9"/>
      <c r="CD9" s="9"/>
      <c r="CE9" t="s">
        <v>4197</v>
      </c>
      <c r="CF9" t="s">
        <v>4198</v>
      </c>
      <c r="CJ9" t="s">
        <v>4197</v>
      </c>
      <c r="CK9">
        <v>7.9000000000000008E-3</v>
      </c>
      <c r="CO9">
        <f>CO5/CO6</f>
        <v>0.30312499999999998</v>
      </c>
      <c r="CP9">
        <f t="shared" ref="CP9" si="4">CP5/CP6</f>
        <v>0.28000000000000003</v>
      </c>
      <c r="CR9" s="9"/>
      <c r="CS9" s="9"/>
      <c r="CT9" s="9"/>
      <c r="CU9" s="9"/>
      <c r="CV9" s="9"/>
      <c r="CW9" s="33"/>
    </row>
    <row r="10" spans="1:101">
      <c r="A10">
        <v>3532</v>
      </c>
      <c r="B10" t="s">
        <v>3517</v>
      </c>
      <c r="D10" t="s">
        <v>60</v>
      </c>
      <c r="E10">
        <v>3568282</v>
      </c>
      <c r="F10">
        <v>3568488</v>
      </c>
      <c r="G10" t="s">
        <v>818</v>
      </c>
      <c r="H10">
        <v>69</v>
      </c>
      <c r="I10" t="s">
        <v>85</v>
      </c>
      <c r="J10">
        <v>4</v>
      </c>
      <c r="K10" t="str">
        <f>HYPERLINK("Gene3532-zp_tree_all.dnd", "Gene3532-tree")</f>
        <v>Gene3532-tree</v>
      </c>
      <c r="L10">
        <v>1</v>
      </c>
      <c r="M10">
        <v>3</v>
      </c>
      <c r="N10">
        <v>1</v>
      </c>
      <c r="O10">
        <v>3</v>
      </c>
      <c r="P10">
        <v>0.75</v>
      </c>
      <c r="Q10" t="s">
        <v>65</v>
      </c>
      <c r="R10" t="s">
        <v>86</v>
      </c>
      <c r="S10" t="s">
        <v>66</v>
      </c>
      <c r="T10" t="s">
        <v>66</v>
      </c>
      <c r="U10">
        <v>0</v>
      </c>
      <c r="V10">
        <v>0</v>
      </c>
      <c r="W10">
        <v>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4</v>
      </c>
      <c r="AH10">
        <v>0</v>
      </c>
      <c r="AI10">
        <v>4</v>
      </c>
      <c r="AJ10">
        <v>1</v>
      </c>
      <c r="AK10">
        <v>3</v>
      </c>
      <c r="AL10">
        <v>4</v>
      </c>
      <c r="AM10">
        <v>1</v>
      </c>
      <c r="AN10">
        <v>0</v>
      </c>
      <c r="AO10" t="s">
        <v>3519</v>
      </c>
      <c r="AP10" t="s">
        <v>68</v>
      </c>
      <c r="AQ10">
        <v>1.1539999999999999</v>
      </c>
      <c r="AR10" t="s">
        <v>69</v>
      </c>
      <c r="AS10">
        <v>4</v>
      </c>
      <c r="AT10">
        <v>4</v>
      </c>
      <c r="AU10">
        <v>2.0129999999999999E-2</v>
      </c>
      <c r="AV10">
        <v>-3.0999999999999999E-3</v>
      </c>
      <c r="AW10">
        <v>4.7359999999999999E-2</v>
      </c>
      <c r="AX10">
        <v>-9.8300000000000002E-3</v>
      </c>
      <c r="AY10">
        <v>1.2670000000000001E-2</v>
      </c>
      <c r="AZ10">
        <v>-2.1299999999999999E-3</v>
      </c>
      <c r="BA10">
        <v>0.26752999999999999</v>
      </c>
      <c r="BB10">
        <v>0.91100000000000003</v>
      </c>
      <c r="BC10" t="s">
        <v>188</v>
      </c>
      <c r="BD10">
        <v>-0.44600000000000001</v>
      </c>
      <c r="BE10">
        <v>-0.44600000000000001</v>
      </c>
      <c r="BF10" t="s">
        <v>139</v>
      </c>
      <c r="BG10">
        <v>2.6315789473684199E-2</v>
      </c>
      <c r="BI10">
        <v>0.26752999999999999</v>
      </c>
      <c r="BJ10">
        <v>2.6315789473684199E-2</v>
      </c>
      <c r="BL10">
        <f t="shared" si="2"/>
        <v>-0.35</v>
      </c>
      <c r="BM10">
        <f t="shared" si="1"/>
        <v>8.8719999999999993E-2</v>
      </c>
      <c r="BN10">
        <f t="shared" si="0"/>
        <v>1</v>
      </c>
      <c r="BO10">
        <f t="shared" si="3"/>
        <v>8.8719999999999993E-2</v>
      </c>
      <c r="BP10">
        <v>0.1031875</v>
      </c>
      <c r="BX10" s="8" t="s">
        <v>4168</v>
      </c>
      <c r="BY10" s="2">
        <f>cd!BY4</f>
        <v>722</v>
      </c>
      <c r="BZ10" s="4">
        <f>cd!BZ4</f>
        <v>0.98499317871759895</v>
      </c>
      <c r="CA10" s="11" t="s">
        <v>70</v>
      </c>
      <c r="CB10" s="9"/>
      <c r="CC10" s="9"/>
      <c r="CD10" s="9"/>
      <c r="CE10" t="s">
        <v>4199</v>
      </c>
      <c r="CF10">
        <v>-2E-3</v>
      </c>
      <c r="CJ10" t="s">
        <v>4199</v>
      </c>
      <c r="CK10">
        <v>-8.9999999999999993E-3</v>
      </c>
      <c r="CQ10" s="9"/>
      <c r="CR10" s="9"/>
      <c r="CS10" s="9"/>
      <c r="CT10" s="9"/>
      <c r="CU10" s="9"/>
      <c r="CV10" s="9"/>
      <c r="CW10" s="9"/>
    </row>
    <row r="11" spans="1:101">
      <c r="A11">
        <v>457</v>
      </c>
      <c r="B11" t="s">
        <v>711</v>
      </c>
      <c r="D11" t="s">
        <v>66</v>
      </c>
      <c r="E11">
        <v>506325</v>
      </c>
      <c r="F11">
        <v>506501</v>
      </c>
      <c r="G11" t="s">
        <v>74</v>
      </c>
      <c r="H11">
        <v>59</v>
      </c>
      <c r="I11" t="s">
        <v>63</v>
      </c>
      <c r="J11">
        <v>5</v>
      </c>
      <c r="K11" t="str">
        <f>HYPERLINK("Gene457-zp_tree_all.dnd", "Gene457-tree")</f>
        <v>Gene457-tree</v>
      </c>
      <c r="L11">
        <v>1</v>
      </c>
      <c r="M11">
        <v>4</v>
      </c>
      <c r="N11">
        <v>1</v>
      </c>
      <c r="O11">
        <v>4</v>
      </c>
      <c r="P11">
        <v>0.8</v>
      </c>
      <c r="Q11" t="s">
        <v>65</v>
      </c>
      <c r="R11" t="s">
        <v>64</v>
      </c>
      <c r="S11" t="s">
        <v>66</v>
      </c>
      <c r="T11" t="s">
        <v>66</v>
      </c>
      <c r="U11">
        <v>1</v>
      </c>
      <c r="V11">
        <v>2</v>
      </c>
      <c r="W11">
        <v>5</v>
      </c>
      <c r="X11">
        <v>0.28571000000000002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2</v>
      </c>
      <c r="AG11">
        <v>5</v>
      </c>
      <c r="AH11">
        <v>0.28571000000000002</v>
      </c>
      <c r="AI11">
        <v>4</v>
      </c>
      <c r="AJ11">
        <v>2</v>
      </c>
      <c r="AK11">
        <v>3</v>
      </c>
      <c r="AL11">
        <v>7</v>
      </c>
      <c r="AM11">
        <v>3</v>
      </c>
      <c r="AN11">
        <v>0</v>
      </c>
      <c r="AO11" t="s">
        <v>713</v>
      </c>
      <c r="AP11" t="s">
        <v>68</v>
      </c>
      <c r="AQ11">
        <v>2.2309999999999999</v>
      </c>
      <c r="AR11" t="s">
        <v>239</v>
      </c>
      <c r="AS11">
        <v>6</v>
      </c>
      <c r="AT11">
        <v>7</v>
      </c>
      <c r="AU11">
        <v>3.0509999999999999E-2</v>
      </c>
      <c r="AV11">
        <v>-4.0899999999999999E-3</v>
      </c>
      <c r="AW11">
        <v>7.7310000000000004E-2</v>
      </c>
      <c r="AX11">
        <v>-1.072E-2</v>
      </c>
      <c r="AY11">
        <v>2.018E-2</v>
      </c>
      <c r="AZ11">
        <v>-3.8300000000000001E-3</v>
      </c>
      <c r="BA11">
        <v>0.26107999999999998</v>
      </c>
      <c r="BB11">
        <v>0.91900000000000004</v>
      </c>
      <c r="BC11" t="s">
        <v>188</v>
      </c>
      <c r="BD11">
        <v>-0.45200000000000001</v>
      </c>
      <c r="BE11">
        <v>-0.45200000000000001</v>
      </c>
      <c r="BF11" t="s">
        <v>139</v>
      </c>
      <c r="BG11">
        <v>-7.69230769230769E-2</v>
      </c>
      <c r="BI11">
        <v>0.26107999999999998</v>
      </c>
      <c r="BJ11">
        <v>-7.69230769230769E-2</v>
      </c>
      <c r="BL11">
        <f t="shared" si="2"/>
        <v>-0.3</v>
      </c>
      <c r="BM11">
        <f t="shared" si="1"/>
        <v>0.3997</v>
      </c>
      <c r="BN11">
        <f t="shared" si="0"/>
        <v>6</v>
      </c>
      <c r="BO11">
        <f t="shared" si="3"/>
        <v>6.6616666666666671E-2</v>
      </c>
      <c r="BP11">
        <v>9.3695714285714285E-2</v>
      </c>
      <c r="BX11" s="8"/>
      <c r="BY11" s="9">
        <f>cd!BY5</f>
        <v>11</v>
      </c>
      <c r="BZ11" s="10">
        <f>cd!BZ5</f>
        <v>1.5006821282401092E-2</v>
      </c>
      <c r="CA11" s="11" t="s">
        <v>188</v>
      </c>
      <c r="CB11" s="9"/>
      <c r="CC11" s="9"/>
      <c r="CD11" s="9"/>
      <c r="CF11">
        <v>-2E-3</v>
      </c>
      <c r="CK11">
        <v>-6.5500000000000003E-2</v>
      </c>
      <c r="CQ11" s="9"/>
      <c r="CR11" s="9"/>
      <c r="CS11" s="9"/>
      <c r="CT11" s="9"/>
      <c r="CU11" s="9"/>
      <c r="CV11" s="9"/>
      <c r="CW11" s="9"/>
    </row>
    <row r="12" spans="1:101">
      <c r="A12">
        <v>533</v>
      </c>
      <c r="B12" t="s">
        <v>771</v>
      </c>
      <c r="D12" t="s">
        <v>66</v>
      </c>
      <c r="E12">
        <v>573455</v>
      </c>
      <c r="F12">
        <v>574024</v>
      </c>
      <c r="G12" t="s">
        <v>773</v>
      </c>
      <c r="H12">
        <v>190</v>
      </c>
      <c r="I12" t="s">
        <v>85</v>
      </c>
      <c r="J12">
        <v>4</v>
      </c>
      <c r="K12" t="str">
        <f>HYPERLINK("Gene533-zp_tree_all.dnd", "Gene533-tree")</f>
        <v>Gene533-tree</v>
      </c>
      <c r="L12">
        <v>0</v>
      </c>
      <c r="M12">
        <v>4</v>
      </c>
      <c r="N12">
        <v>0</v>
      </c>
      <c r="O12">
        <v>4</v>
      </c>
      <c r="P12">
        <v>1</v>
      </c>
      <c r="Q12" t="s">
        <v>66</v>
      </c>
      <c r="R12" t="s">
        <v>64</v>
      </c>
      <c r="S12" t="s">
        <v>66</v>
      </c>
      <c r="T12" t="s">
        <v>66</v>
      </c>
      <c r="U12">
        <v>1</v>
      </c>
      <c r="V12">
        <v>2</v>
      </c>
      <c r="W12">
        <v>14</v>
      </c>
      <c r="X12">
        <v>0.125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</v>
      </c>
      <c r="AF12">
        <v>2</v>
      </c>
      <c r="AG12">
        <v>14</v>
      </c>
      <c r="AH12">
        <v>0.125</v>
      </c>
      <c r="AI12">
        <v>4</v>
      </c>
      <c r="AJ12">
        <v>1</v>
      </c>
      <c r="AK12">
        <v>16</v>
      </c>
      <c r="AL12">
        <v>14</v>
      </c>
      <c r="AM12">
        <v>4</v>
      </c>
      <c r="AN12">
        <v>3</v>
      </c>
      <c r="AO12" t="s">
        <v>774</v>
      </c>
      <c r="AP12" t="s">
        <v>775</v>
      </c>
      <c r="AQ12">
        <v>0.34100000000000003</v>
      </c>
      <c r="AR12" t="s">
        <v>69</v>
      </c>
      <c r="AS12">
        <v>20</v>
      </c>
      <c r="AT12">
        <v>17</v>
      </c>
      <c r="AU12">
        <v>3.3329999999999999E-2</v>
      </c>
      <c r="AV12">
        <v>-4.1099999999999999E-3</v>
      </c>
      <c r="AW12">
        <v>8.2799999999999999E-2</v>
      </c>
      <c r="AX12">
        <v>-1.319E-2</v>
      </c>
      <c r="AY12">
        <v>2.069E-2</v>
      </c>
      <c r="AZ12">
        <v>-2.2499999999999998E-3</v>
      </c>
      <c r="BA12">
        <v>0.24989</v>
      </c>
      <c r="BB12">
        <v>1</v>
      </c>
      <c r="BC12" t="s">
        <v>70</v>
      </c>
      <c r="BD12">
        <v>-4.9000000000000002E-2</v>
      </c>
      <c r="BE12">
        <v>-4.9000000000000002E-2</v>
      </c>
      <c r="BF12" t="s">
        <v>139</v>
      </c>
      <c r="BG12">
        <v>6.7226890756302504E-2</v>
      </c>
      <c r="BI12">
        <v>0.24989</v>
      </c>
      <c r="BJ12">
        <v>6.7226890756302504E-2</v>
      </c>
      <c r="BL12">
        <f t="shared" si="2"/>
        <v>-0.25</v>
      </c>
      <c r="BM12">
        <f t="shared" si="1"/>
        <v>0.32733000000000001</v>
      </c>
      <c r="BN12">
        <f t="shared" si="0"/>
        <v>5</v>
      </c>
      <c r="BO12">
        <f t="shared" si="3"/>
        <v>6.5465999999999996E-2</v>
      </c>
      <c r="BP12">
        <v>0.14341904761904764</v>
      </c>
      <c r="BX12" s="8"/>
      <c r="BY12" s="9">
        <f>cd!BY6</f>
        <v>0</v>
      </c>
      <c r="BZ12" s="10">
        <f>cd!BZ6</f>
        <v>0</v>
      </c>
      <c r="CA12" s="11" t="s">
        <v>4180</v>
      </c>
      <c r="CB12" s="9"/>
      <c r="CC12" s="9"/>
      <c r="CD12" s="9"/>
      <c r="CE12" t="s">
        <v>4200</v>
      </c>
      <c r="CF12">
        <f>CF5/CF6</f>
        <v>1.4165282335017471</v>
      </c>
      <c r="CJ12" t="s">
        <v>4200</v>
      </c>
      <c r="CK12">
        <f>CK5/CK6</f>
        <v>1.7828185694812348</v>
      </c>
      <c r="CQ12" s="9"/>
      <c r="CR12" s="9"/>
      <c r="CS12" t="s">
        <v>4200</v>
      </c>
      <c r="CT12">
        <f>CU5/CU6</f>
        <v>1.1863583815028902</v>
      </c>
      <c r="CU12" s="9"/>
      <c r="CV12" s="9"/>
      <c r="CW12" s="9"/>
    </row>
    <row r="13" spans="1:101">
      <c r="A13">
        <v>1050</v>
      </c>
      <c r="B13" t="s">
        <v>1135</v>
      </c>
      <c r="D13" t="s">
        <v>66</v>
      </c>
      <c r="E13">
        <v>1116586</v>
      </c>
      <c r="F13">
        <v>1116816</v>
      </c>
      <c r="G13" t="s">
        <v>74</v>
      </c>
      <c r="H13">
        <v>77</v>
      </c>
      <c r="I13" t="s">
        <v>63</v>
      </c>
      <c r="J13">
        <v>5</v>
      </c>
      <c r="K13" t="str">
        <f>HYPERLINK("Gene1050-zp_tree_all.dnd", "Gene1050-tree")</f>
        <v>Gene1050-tree</v>
      </c>
      <c r="L13">
        <v>0</v>
      </c>
      <c r="M13">
        <v>5</v>
      </c>
      <c r="N13">
        <v>0</v>
      </c>
      <c r="O13">
        <v>4</v>
      </c>
      <c r="P13">
        <v>1</v>
      </c>
      <c r="Q13" t="s">
        <v>66</v>
      </c>
      <c r="R13" t="s">
        <v>135</v>
      </c>
      <c r="S13">
        <v>3.1949999999999998</v>
      </c>
      <c r="T13" t="s">
        <v>69</v>
      </c>
      <c r="U13">
        <v>0</v>
      </c>
      <c r="V13">
        <v>0</v>
      </c>
      <c r="W13">
        <v>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5</v>
      </c>
      <c r="AH13">
        <v>0</v>
      </c>
      <c r="AI13">
        <v>2</v>
      </c>
      <c r="AJ13">
        <v>1</v>
      </c>
      <c r="AK13">
        <v>1</v>
      </c>
      <c r="AL13">
        <v>3</v>
      </c>
      <c r="AM13">
        <v>4</v>
      </c>
      <c r="AN13">
        <v>2</v>
      </c>
      <c r="AO13" t="s">
        <v>1137</v>
      </c>
      <c r="AP13" t="s">
        <v>1138</v>
      </c>
      <c r="AQ13">
        <v>1.069</v>
      </c>
      <c r="AR13" t="s">
        <v>69</v>
      </c>
      <c r="AS13">
        <v>5</v>
      </c>
      <c r="AT13">
        <v>5</v>
      </c>
      <c r="AU13">
        <v>2.597E-2</v>
      </c>
      <c r="AV13">
        <v>-5.5900000000000004E-3</v>
      </c>
      <c r="AW13">
        <v>7.0879999999999999E-2</v>
      </c>
      <c r="AX13">
        <v>-1.3610000000000001E-2</v>
      </c>
      <c r="AY13">
        <v>1.5650000000000001E-2</v>
      </c>
      <c r="AZ13">
        <v>-3.0599999999999998E-3</v>
      </c>
      <c r="BA13">
        <v>0.22086</v>
      </c>
      <c r="BB13">
        <v>1</v>
      </c>
      <c r="BC13" t="s">
        <v>70</v>
      </c>
      <c r="BD13">
        <v>0.89400000000000002</v>
      </c>
      <c r="BE13">
        <v>0.89400000000000002</v>
      </c>
      <c r="BF13" t="s">
        <v>139</v>
      </c>
      <c r="BG13">
        <v>2.0833333333333301E-2</v>
      </c>
      <c r="BI13">
        <v>0.22086</v>
      </c>
      <c r="BJ13">
        <v>2.0833333333333301E-2</v>
      </c>
      <c r="BL13">
        <f t="shared" si="2"/>
        <v>-0.2</v>
      </c>
      <c r="BM13">
        <f t="shared" si="1"/>
        <v>0.66051000000000004</v>
      </c>
      <c r="BN13">
        <f>COUNTIFS(BJ:BJ,"&lt;"&amp;BL14,BJ:BJ,"&gt;="&amp;BL13)</f>
        <v>9</v>
      </c>
      <c r="BO13">
        <f t="shared" si="3"/>
        <v>7.3390000000000011E-2</v>
      </c>
      <c r="BP13">
        <v>0.17680718750000002</v>
      </c>
      <c r="BX13" s="8"/>
      <c r="BY13" s="14">
        <f>cd!BY7</f>
        <v>733</v>
      </c>
      <c r="BZ13" s="17"/>
      <c r="CA13" s="11" t="s">
        <v>4181</v>
      </c>
      <c r="CB13" s="9"/>
      <c r="CC13" s="9"/>
      <c r="CD13" s="9"/>
      <c r="CW13" s="9"/>
    </row>
    <row r="14" spans="1:101">
      <c r="A14">
        <v>1873</v>
      </c>
      <c r="B14" t="s">
        <v>2057</v>
      </c>
      <c r="D14" t="s">
        <v>66</v>
      </c>
      <c r="E14">
        <v>2004265</v>
      </c>
      <c r="F14">
        <v>2004492</v>
      </c>
      <c r="G14" t="s">
        <v>74</v>
      </c>
      <c r="H14">
        <v>76</v>
      </c>
      <c r="I14" t="s">
        <v>63</v>
      </c>
      <c r="J14">
        <v>5</v>
      </c>
      <c r="K14" t="str">
        <f>HYPERLINK("Gene1873-zp_tree_all.dnd", "Gene1873-tree")</f>
        <v>Gene1873-tree</v>
      </c>
      <c r="L14">
        <v>3</v>
      </c>
      <c r="M14">
        <v>2</v>
      </c>
      <c r="N14">
        <v>3</v>
      </c>
      <c r="O14">
        <v>2</v>
      </c>
      <c r="P14">
        <v>0.4</v>
      </c>
      <c r="Q14" t="s">
        <v>86</v>
      </c>
      <c r="R14" t="s">
        <v>124</v>
      </c>
      <c r="S14" t="s">
        <v>66</v>
      </c>
      <c r="T14" t="s">
        <v>66</v>
      </c>
      <c r="U14">
        <v>0</v>
      </c>
      <c r="V14">
        <v>0</v>
      </c>
      <c r="W14">
        <v>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8</v>
      </c>
      <c r="AH14">
        <v>0</v>
      </c>
      <c r="AI14">
        <v>3</v>
      </c>
      <c r="AJ14">
        <v>2</v>
      </c>
      <c r="AK14">
        <v>5</v>
      </c>
      <c r="AL14">
        <v>5</v>
      </c>
      <c r="AM14">
        <v>4</v>
      </c>
      <c r="AN14">
        <v>3</v>
      </c>
      <c r="AO14" t="s">
        <v>2059</v>
      </c>
      <c r="AP14" t="s">
        <v>2060</v>
      </c>
      <c r="AQ14">
        <v>0.26500000000000001</v>
      </c>
      <c r="AR14" t="s">
        <v>69</v>
      </c>
      <c r="AS14">
        <v>9</v>
      </c>
      <c r="AT14">
        <v>8</v>
      </c>
      <c r="AU14">
        <v>3.5090000000000003E-2</v>
      </c>
      <c r="AV14">
        <v>-5.5799999999999999E-3</v>
      </c>
      <c r="AW14">
        <v>9.7619999999999998E-2</v>
      </c>
      <c r="AX14">
        <v>-1.554E-2</v>
      </c>
      <c r="AY14">
        <v>2.138E-2</v>
      </c>
      <c r="AZ14">
        <v>-4.4900000000000001E-3</v>
      </c>
      <c r="BA14">
        <v>0.21903</v>
      </c>
      <c r="BB14">
        <v>0.99</v>
      </c>
      <c r="BC14" t="s">
        <v>70</v>
      </c>
      <c r="BD14">
        <v>0.30499999999999999</v>
      </c>
      <c r="BE14">
        <v>-7.5999999999999998E-2</v>
      </c>
      <c r="BF14" t="s">
        <v>139</v>
      </c>
      <c r="BG14">
        <v>-0.25581395348837199</v>
      </c>
      <c r="BI14">
        <v>0.21903</v>
      </c>
      <c r="BJ14">
        <v>-0.25581395348837199</v>
      </c>
      <c r="BL14">
        <f t="shared" si="2"/>
        <v>-0.15000000000000002</v>
      </c>
      <c r="BM14">
        <f t="shared" si="1"/>
        <v>2.0968099999999996</v>
      </c>
      <c r="BN14">
        <f t="shared" si="0"/>
        <v>19</v>
      </c>
      <c r="BO14">
        <f t="shared" si="3"/>
        <v>0.11035842105263156</v>
      </c>
      <c r="BP14">
        <v>0.1471867073170732</v>
      </c>
      <c r="BX14" s="1"/>
      <c r="BY14" s="14">
        <f>cd!BY8</f>
        <v>733</v>
      </c>
      <c r="BZ14" s="17">
        <f>cd!BZ8</f>
        <v>0</v>
      </c>
      <c r="CA14" s="3" t="s">
        <v>4182</v>
      </c>
      <c r="CB14" s="9"/>
      <c r="CC14" s="9"/>
      <c r="CD14" s="9"/>
    </row>
    <row r="15" spans="1:101">
      <c r="A15">
        <v>1064</v>
      </c>
      <c r="B15" t="s">
        <v>1156</v>
      </c>
      <c r="D15" t="s">
        <v>66</v>
      </c>
      <c r="E15">
        <v>1128289</v>
      </c>
      <c r="F15">
        <v>1129611</v>
      </c>
      <c r="G15" t="s">
        <v>1158</v>
      </c>
      <c r="H15">
        <v>441</v>
      </c>
      <c r="I15" t="s">
        <v>85</v>
      </c>
      <c r="J15">
        <v>4</v>
      </c>
      <c r="K15" t="str">
        <f>HYPERLINK("Gene1064-zp_tree_all.dnd", "Gene1064-tree")</f>
        <v>Gene1064-tree</v>
      </c>
      <c r="L15">
        <v>0</v>
      </c>
      <c r="M15">
        <v>4</v>
      </c>
      <c r="N15">
        <v>0</v>
      </c>
      <c r="O15">
        <v>4</v>
      </c>
      <c r="P15">
        <v>1</v>
      </c>
      <c r="Q15" t="s">
        <v>66</v>
      </c>
      <c r="R15" t="s">
        <v>64</v>
      </c>
      <c r="S15" t="s">
        <v>66</v>
      </c>
      <c r="T15" t="s">
        <v>66</v>
      </c>
      <c r="U15">
        <v>1</v>
      </c>
      <c r="V15">
        <v>3</v>
      </c>
      <c r="W15">
        <v>28</v>
      </c>
      <c r="X15">
        <v>9.6769999999999995E-2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3</v>
      </c>
      <c r="AG15">
        <v>28</v>
      </c>
      <c r="AH15">
        <v>9.6769999999999995E-2</v>
      </c>
      <c r="AI15">
        <v>4</v>
      </c>
      <c r="AJ15">
        <v>1</v>
      </c>
      <c r="AK15">
        <v>38</v>
      </c>
      <c r="AL15">
        <v>32</v>
      </c>
      <c r="AM15">
        <v>2</v>
      </c>
      <c r="AN15">
        <v>0</v>
      </c>
      <c r="AO15" t="s">
        <v>1159</v>
      </c>
      <c r="AP15" t="s">
        <v>68</v>
      </c>
      <c r="AQ15">
        <v>0.60399999999999998</v>
      </c>
      <c r="AR15" t="s">
        <v>69</v>
      </c>
      <c r="AS15">
        <v>40</v>
      </c>
      <c r="AT15">
        <v>32</v>
      </c>
      <c r="AU15">
        <v>2.708E-2</v>
      </c>
      <c r="AV15">
        <v>-7.77E-3</v>
      </c>
      <c r="AW15">
        <v>7.7039999999999997E-2</v>
      </c>
      <c r="AX15">
        <v>-2.2749999999999999E-2</v>
      </c>
      <c r="AY15">
        <v>1.542E-2</v>
      </c>
      <c r="AZ15">
        <v>-4.47E-3</v>
      </c>
      <c r="BA15">
        <v>0.20018</v>
      </c>
      <c r="BB15">
        <v>1</v>
      </c>
      <c r="BC15" t="s">
        <v>70</v>
      </c>
      <c r="BD15">
        <v>-0.64200000000000002</v>
      </c>
      <c r="BE15">
        <v>-0.77900000000000003</v>
      </c>
      <c r="BF15" t="s">
        <v>139</v>
      </c>
      <c r="BG15">
        <v>-0.116483516483516</v>
      </c>
      <c r="BI15">
        <v>0.20018</v>
      </c>
      <c r="BJ15">
        <v>-0.116483516483516</v>
      </c>
      <c r="BL15">
        <f>BL16-0.05</f>
        <v>-0.1</v>
      </c>
      <c r="BM15">
        <f t="shared" si="1"/>
        <v>2.3923899999999998</v>
      </c>
      <c r="BN15">
        <f t="shared" si="0"/>
        <v>36</v>
      </c>
      <c r="BO15">
        <f t="shared" si="3"/>
        <v>6.6455277777777766E-2</v>
      </c>
      <c r="BP15">
        <v>0.11305855670103089</v>
      </c>
      <c r="BX15" s="1" t="s">
        <v>4189</v>
      </c>
      <c r="BY15" s="2"/>
      <c r="BZ15" s="26">
        <f>BZ10/BZ4</f>
        <v>1.0390476824277111</v>
      </c>
      <c r="CA15" s="5" t="s">
        <v>70</v>
      </c>
      <c r="CB15" s="9"/>
      <c r="CC15" s="9"/>
      <c r="CD15" s="9"/>
    </row>
    <row r="16" spans="1:101">
      <c r="A16">
        <v>524</v>
      </c>
      <c r="B16" t="s">
        <v>766</v>
      </c>
      <c r="D16" t="s">
        <v>66</v>
      </c>
      <c r="E16">
        <v>563617</v>
      </c>
      <c r="F16">
        <v>564486</v>
      </c>
      <c r="G16" t="s">
        <v>768</v>
      </c>
      <c r="H16">
        <v>290</v>
      </c>
      <c r="I16" t="s">
        <v>85</v>
      </c>
      <c r="J16">
        <v>4</v>
      </c>
      <c r="K16" t="str">
        <f>HYPERLINK("Gene524-zp_tree_all.dnd", "Gene524-tree")</f>
        <v>Gene524-tree</v>
      </c>
      <c r="L16">
        <v>0</v>
      </c>
      <c r="M16">
        <v>4</v>
      </c>
      <c r="N16">
        <v>0</v>
      </c>
      <c r="O16">
        <v>4</v>
      </c>
      <c r="P16">
        <v>1</v>
      </c>
      <c r="Q16" t="s">
        <v>66</v>
      </c>
      <c r="R16" t="s">
        <v>64</v>
      </c>
      <c r="S16" t="s">
        <v>66</v>
      </c>
      <c r="T16" t="s">
        <v>66</v>
      </c>
      <c r="U16">
        <v>1</v>
      </c>
      <c r="V16">
        <v>2</v>
      </c>
      <c r="W16">
        <v>24</v>
      </c>
      <c r="X16">
        <v>7.6920000000000002E-2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2</v>
      </c>
      <c r="AG16">
        <v>24</v>
      </c>
      <c r="AH16">
        <v>7.6920000000000002E-2</v>
      </c>
      <c r="AI16">
        <v>4</v>
      </c>
      <c r="AJ16">
        <v>1</v>
      </c>
      <c r="AK16">
        <v>36</v>
      </c>
      <c r="AL16">
        <v>25</v>
      </c>
      <c r="AM16">
        <v>2</v>
      </c>
      <c r="AN16">
        <v>1</v>
      </c>
      <c r="AO16" t="s">
        <v>769</v>
      </c>
      <c r="AP16" t="s">
        <v>770</v>
      </c>
      <c r="AQ16">
        <v>0.48899999999999999</v>
      </c>
      <c r="AR16" t="s">
        <v>69</v>
      </c>
      <c r="AS16">
        <v>38</v>
      </c>
      <c r="AT16">
        <v>26</v>
      </c>
      <c r="AU16">
        <v>3.6400000000000002E-2</v>
      </c>
      <c r="AV16">
        <v>-5.9899999999999997E-3</v>
      </c>
      <c r="AW16">
        <v>0.10437</v>
      </c>
      <c r="AX16">
        <v>-1.7950000000000001E-2</v>
      </c>
      <c r="AY16">
        <v>1.9720000000000001E-2</v>
      </c>
      <c r="AZ16">
        <v>-3.3700000000000002E-3</v>
      </c>
      <c r="BA16">
        <v>0.18897</v>
      </c>
      <c r="BB16">
        <v>1</v>
      </c>
      <c r="BC16" t="s">
        <v>70</v>
      </c>
      <c r="BD16">
        <v>-0.503</v>
      </c>
      <c r="BE16">
        <v>-0.66</v>
      </c>
      <c r="BF16" t="s">
        <v>139</v>
      </c>
      <c r="BG16">
        <v>-2.71903323262839E-2</v>
      </c>
      <c r="BI16">
        <v>0.18897</v>
      </c>
      <c r="BJ16">
        <v>-2.71903323262839E-2</v>
      </c>
      <c r="BL16">
        <v>-0.05</v>
      </c>
      <c r="BM16">
        <f t="shared" si="1"/>
        <v>1.95167</v>
      </c>
      <c r="BN16">
        <f t="shared" si="0"/>
        <v>41</v>
      </c>
      <c r="BO16">
        <f t="shared" si="3"/>
        <v>4.7601707317073173E-2</v>
      </c>
      <c r="BP16">
        <v>0.1009308888888889</v>
      </c>
      <c r="BX16" s="8"/>
      <c r="BY16" s="9"/>
      <c r="BZ16" s="27">
        <f>BZ11/BZ5</f>
        <v>0.28846445353948763</v>
      </c>
      <c r="CA16" s="11" t="s">
        <v>188</v>
      </c>
      <c r="CB16" s="9"/>
      <c r="CC16" s="9"/>
      <c r="CD16" s="9"/>
    </row>
    <row r="17" spans="1:80">
      <c r="A17">
        <v>3692</v>
      </c>
      <c r="B17" t="s">
        <v>3629</v>
      </c>
      <c r="D17" t="s">
        <v>60</v>
      </c>
      <c r="E17">
        <v>3741182</v>
      </c>
      <c r="F17">
        <v>3741589</v>
      </c>
      <c r="G17" t="s">
        <v>74</v>
      </c>
      <c r="H17">
        <v>136</v>
      </c>
      <c r="I17" t="s">
        <v>63</v>
      </c>
      <c r="J17">
        <v>5</v>
      </c>
      <c r="K17" t="str">
        <f>HYPERLINK("Gene3692-zp_tree_all.dnd", "Gene3692-tree")</f>
        <v>Gene3692-tree</v>
      </c>
      <c r="L17">
        <v>3</v>
      </c>
      <c r="M17">
        <v>2</v>
      </c>
      <c r="N17">
        <v>3</v>
      </c>
      <c r="O17">
        <v>2</v>
      </c>
      <c r="P17">
        <v>0.4</v>
      </c>
      <c r="Q17" t="s">
        <v>86</v>
      </c>
      <c r="R17" t="s">
        <v>124</v>
      </c>
      <c r="S17" t="s">
        <v>66</v>
      </c>
      <c r="T17" t="s">
        <v>66</v>
      </c>
      <c r="U17">
        <v>0</v>
      </c>
      <c r="V17">
        <v>0</v>
      </c>
      <c r="W17">
        <v>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9</v>
      </c>
      <c r="AH17">
        <v>0</v>
      </c>
      <c r="AI17">
        <v>4</v>
      </c>
      <c r="AJ17">
        <v>1</v>
      </c>
      <c r="AK17">
        <v>12</v>
      </c>
      <c r="AL17">
        <v>6</v>
      </c>
      <c r="AM17">
        <v>5</v>
      </c>
      <c r="AN17">
        <v>4</v>
      </c>
      <c r="AO17" t="s">
        <v>3631</v>
      </c>
      <c r="AP17" t="s">
        <v>3632</v>
      </c>
      <c r="AQ17">
        <v>0.51100000000000001</v>
      </c>
      <c r="AR17" t="s">
        <v>69</v>
      </c>
      <c r="AS17">
        <v>17</v>
      </c>
      <c r="AT17">
        <v>10</v>
      </c>
      <c r="AU17">
        <v>3.0620000000000001E-2</v>
      </c>
      <c r="AV17">
        <v>-5.3899999999999998E-3</v>
      </c>
      <c r="AW17">
        <v>9.3670000000000003E-2</v>
      </c>
      <c r="AX17">
        <v>-1.5879999999999998E-2</v>
      </c>
      <c r="AY17">
        <v>1.537E-2</v>
      </c>
      <c r="AZ17">
        <v>-3.5699999999999998E-3</v>
      </c>
      <c r="BA17">
        <v>0.16411000000000001</v>
      </c>
      <c r="BB17">
        <v>1</v>
      </c>
      <c r="BC17" t="s">
        <v>70</v>
      </c>
      <c r="BD17">
        <v>-4.8000000000000001E-2</v>
      </c>
      <c r="BE17">
        <v>-0.28699999999999998</v>
      </c>
      <c r="BF17" t="s">
        <v>139</v>
      </c>
      <c r="BG17">
        <v>-3.6144578313252997E-2</v>
      </c>
      <c r="BI17">
        <v>0.16411000000000001</v>
      </c>
      <c r="BJ17">
        <v>-3.6144578313252997E-2</v>
      </c>
      <c r="BL17">
        <v>0</v>
      </c>
      <c r="BM17">
        <f t="shared" si="1"/>
        <v>4.5456399999999988</v>
      </c>
      <c r="BN17">
        <f t="shared" si="0"/>
        <v>34</v>
      </c>
      <c r="BO17">
        <f t="shared" si="3"/>
        <v>0.13369529411764702</v>
      </c>
      <c r="BP17">
        <v>0.14514918803418803</v>
      </c>
      <c r="BX17" s="16"/>
      <c r="BY17" s="14"/>
      <c r="BZ17" s="28">
        <v>0</v>
      </c>
      <c r="CA17" s="15" t="s">
        <v>4180</v>
      </c>
      <c r="CB17" s="9"/>
    </row>
    <row r="18" spans="1:80">
      <c r="A18">
        <v>1952</v>
      </c>
      <c r="B18" t="s">
        <v>2075</v>
      </c>
      <c r="D18" t="s">
        <v>60</v>
      </c>
      <c r="E18">
        <v>2085303</v>
      </c>
      <c r="F18">
        <v>2085977</v>
      </c>
      <c r="G18" t="s">
        <v>74</v>
      </c>
      <c r="H18">
        <v>225</v>
      </c>
      <c r="I18" t="s">
        <v>63</v>
      </c>
      <c r="J18">
        <v>5</v>
      </c>
      <c r="K18" t="str">
        <f>HYPERLINK("Gene1952-zp_tree_all.dnd", "Gene1952-tree")</f>
        <v>Gene1952-tree</v>
      </c>
      <c r="L18">
        <v>3</v>
      </c>
      <c r="M18">
        <v>2</v>
      </c>
      <c r="N18">
        <v>3</v>
      </c>
      <c r="O18">
        <v>2</v>
      </c>
      <c r="P18">
        <v>0.4</v>
      </c>
      <c r="Q18" t="s">
        <v>86</v>
      </c>
      <c r="R18" t="s">
        <v>124</v>
      </c>
      <c r="S18" t="s">
        <v>66</v>
      </c>
      <c r="T18" t="s">
        <v>66</v>
      </c>
      <c r="U18">
        <v>1</v>
      </c>
      <c r="V18">
        <v>2</v>
      </c>
      <c r="W18">
        <v>9</v>
      </c>
      <c r="X18">
        <v>0.18182000000000001</v>
      </c>
      <c r="Y18">
        <v>0</v>
      </c>
      <c r="Z18">
        <v>0</v>
      </c>
      <c r="AA18">
        <v>0</v>
      </c>
      <c r="AB18">
        <v>5</v>
      </c>
      <c r="AC18">
        <v>0</v>
      </c>
      <c r="AD18">
        <v>0</v>
      </c>
      <c r="AE18">
        <v>0</v>
      </c>
      <c r="AF18">
        <v>0</v>
      </c>
      <c r="AG18">
        <v>6</v>
      </c>
      <c r="AH18">
        <v>0</v>
      </c>
      <c r="AI18">
        <v>4</v>
      </c>
      <c r="AJ18">
        <v>2</v>
      </c>
      <c r="AK18">
        <v>11</v>
      </c>
      <c r="AL18">
        <v>6</v>
      </c>
      <c r="AM18">
        <v>10</v>
      </c>
      <c r="AN18">
        <v>5</v>
      </c>
      <c r="AO18" t="s">
        <v>2077</v>
      </c>
      <c r="AP18" t="s">
        <v>2078</v>
      </c>
      <c r="AQ18">
        <v>6.3E-2</v>
      </c>
      <c r="AR18" t="s">
        <v>69</v>
      </c>
      <c r="AS18">
        <v>21</v>
      </c>
      <c r="AT18">
        <v>11</v>
      </c>
      <c r="AU18">
        <v>2.307E-2</v>
      </c>
      <c r="AV18">
        <v>-4.2300000000000003E-3</v>
      </c>
      <c r="AW18">
        <v>7.0220000000000005E-2</v>
      </c>
      <c r="AX18">
        <v>-1.2359999999999999E-2</v>
      </c>
      <c r="AY18">
        <v>1.1010000000000001E-2</v>
      </c>
      <c r="AZ18">
        <v>-2.5600000000000002E-3</v>
      </c>
      <c r="BA18">
        <v>0.15673999999999999</v>
      </c>
      <c r="BB18">
        <v>1</v>
      </c>
      <c r="BC18" t="s">
        <v>70</v>
      </c>
      <c r="BD18">
        <v>0.312</v>
      </c>
      <c r="BE18">
        <v>0.06</v>
      </c>
      <c r="BF18" t="s">
        <v>139</v>
      </c>
      <c r="BG18">
        <v>-8.1481481481481405E-2</v>
      </c>
      <c r="BI18">
        <v>0.15673999999999999</v>
      </c>
      <c r="BJ18">
        <v>-8.1481481481481405E-2</v>
      </c>
      <c r="BL18">
        <v>0.05</v>
      </c>
      <c r="BM18">
        <f>SUMIFS(BI:BI,BJ:BJ,"&lt;"&amp;BL19,BJ:BJ,"&gt;="&amp;BL18)</f>
        <v>1.0663399999999998</v>
      </c>
      <c r="BN18">
        <f>COUNTIFS(BJ:BJ,"&lt;"&amp;BL19,BJ:BJ,"&gt;="&amp;BL18)</f>
        <v>13</v>
      </c>
      <c r="BO18">
        <f t="shared" si="3"/>
        <v>8.2026153846153832E-2</v>
      </c>
      <c r="BP18">
        <v>0.141964776119403</v>
      </c>
    </row>
    <row r="19" spans="1:80">
      <c r="A19">
        <v>2979</v>
      </c>
      <c r="B19" t="s">
        <v>2978</v>
      </c>
      <c r="D19" t="s">
        <v>60</v>
      </c>
      <c r="E19">
        <v>2996980</v>
      </c>
      <c r="F19">
        <v>2997279</v>
      </c>
      <c r="G19" t="s">
        <v>74</v>
      </c>
      <c r="H19">
        <v>100</v>
      </c>
      <c r="I19" t="s">
        <v>63</v>
      </c>
      <c r="J19">
        <v>5</v>
      </c>
      <c r="K19" t="str">
        <f>HYPERLINK("Gene2979-zp_tree_all.dnd", "Gene2979-tree")</f>
        <v>Gene2979-tree</v>
      </c>
      <c r="L19">
        <v>4</v>
      </c>
      <c r="M19">
        <v>1</v>
      </c>
      <c r="N19">
        <v>3</v>
      </c>
      <c r="O19">
        <v>1</v>
      </c>
      <c r="P19">
        <v>0.25</v>
      </c>
      <c r="Q19" t="s">
        <v>112</v>
      </c>
      <c r="R19" t="s">
        <v>65</v>
      </c>
      <c r="S19" t="s">
        <v>66</v>
      </c>
      <c r="T19" t="s">
        <v>66</v>
      </c>
      <c r="U19">
        <v>1</v>
      </c>
      <c r="V19">
        <v>2</v>
      </c>
      <c r="W19">
        <v>3</v>
      </c>
      <c r="X19">
        <v>0.4</v>
      </c>
      <c r="Y19">
        <v>0</v>
      </c>
      <c r="Z19">
        <v>0</v>
      </c>
      <c r="AA19">
        <v>0</v>
      </c>
      <c r="AB19">
        <v>4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3</v>
      </c>
      <c r="AJ19">
        <v>1</v>
      </c>
      <c r="AK19">
        <v>2</v>
      </c>
      <c r="AL19">
        <v>1</v>
      </c>
      <c r="AM19">
        <v>8</v>
      </c>
      <c r="AN19">
        <v>4</v>
      </c>
      <c r="AO19" t="s">
        <v>2980</v>
      </c>
      <c r="AP19" t="s">
        <v>2981</v>
      </c>
      <c r="AQ19">
        <v>0.04</v>
      </c>
      <c r="AR19" t="s">
        <v>69</v>
      </c>
      <c r="AS19">
        <v>10</v>
      </c>
      <c r="AT19">
        <v>5</v>
      </c>
      <c r="AU19">
        <v>3.1669999999999997E-2</v>
      </c>
      <c r="AV19">
        <v>-7.7299999999999999E-3</v>
      </c>
      <c r="AW19">
        <v>9.3990000000000004E-2</v>
      </c>
      <c r="AX19">
        <v>-2.3480000000000001E-2</v>
      </c>
      <c r="AY19">
        <v>1.4149999999999999E-2</v>
      </c>
      <c r="AZ19">
        <v>-3.5699999999999998E-3</v>
      </c>
      <c r="BA19">
        <v>0.15057999999999999</v>
      </c>
      <c r="BB19">
        <v>1</v>
      </c>
      <c r="BC19" t="s">
        <v>70</v>
      </c>
      <c r="BD19">
        <v>1.4219999999999999</v>
      </c>
      <c r="BE19">
        <v>1.4219999999999999</v>
      </c>
      <c r="BF19" t="s">
        <v>139</v>
      </c>
      <c r="BG19">
        <v>-6.25E-2</v>
      </c>
      <c r="BI19">
        <v>0.15057999999999999</v>
      </c>
      <c r="BJ19">
        <v>-6.25E-2</v>
      </c>
      <c r="BL19">
        <f>BL18+0.05</f>
        <v>0.1</v>
      </c>
      <c r="BM19">
        <f t="shared" ref="BM19:BM27" si="5">SUMIFS(BI:BI,BJ:BJ,"&lt;"&amp;BL20,BJ:BJ,"&gt;="&amp;BL19)</f>
        <v>1.1794100000000001</v>
      </c>
      <c r="BN19">
        <f t="shared" ref="BN19:BN28" si="6">COUNTIFS(BJ:BJ,"&lt;"&amp;BL20,BJ:BJ,"&gt;="&amp;BL19)</f>
        <v>4</v>
      </c>
      <c r="BO19">
        <f t="shared" si="3"/>
        <v>0.29485250000000002</v>
      </c>
      <c r="BP19">
        <v>0.1180057142857143</v>
      </c>
    </row>
    <row r="20" spans="1:80">
      <c r="A20">
        <v>1225</v>
      </c>
      <c r="B20" t="s">
        <v>1264</v>
      </c>
      <c r="D20" t="s">
        <v>66</v>
      </c>
      <c r="E20">
        <v>1282574</v>
      </c>
      <c r="F20">
        <v>1283044</v>
      </c>
      <c r="G20" t="s">
        <v>74</v>
      </c>
      <c r="H20">
        <v>157</v>
      </c>
      <c r="I20" t="s">
        <v>85</v>
      </c>
      <c r="J20">
        <v>4</v>
      </c>
      <c r="K20" t="str">
        <f>HYPERLINK("Gene1225-zp_tree_all.dnd", "Gene1225-tree")</f>
        <v>Gene1225-tree</v>
      </c>
      <c r="L20">
        <v>2</v>
      </c>
      <c r="M20">
        <v>2</v>
      </c>
      <c r="N20">
        <v>2</v>
      </c>
      <c r="O20">
        <v>2</v>
      </c>
      <c r="P20">
        <v>0.5</v>
      </c>
      <c r="Q20" t="s">
        <v>124</v>
      </c>
      <c r="R20" t="s">
        <v>124</v>
      </c>
      <c r="S20" t="s">
        <v>66</v>
      </c>
      <c r="T20" t="s">
        <v>66</v>
      </c>
      <c r="U20">
        <v>0</v>
      </c>
      <c r="V20">
        <v>0</v>
      </c>
      <c r="W20">
        <v>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8</v>
      </c>
      <c r="AH20">
        <v>0</v>
      </c>
      <c r="AI20">
        <v>4</v>
      </c>
      <c r="AJ20">
        <v>1</v>
      </c>
      <c r="AK20">
        <v>17</v>
      </c>
      <c r="AL20">
        <v>6</v>
      </c>
      <c r="AM20">
        <v>1</v>
      </c>
      <c r="AN20">
        <v>2</v>
      </c>
      <c r="AO20" t="s">
        <v>1266</v>
      </c>
      <c r="AP20" t="s">
        <v>1267</v>
      </c>
      <c r="AQ20">
        <v>6.5359999999999996</v>
      </c>
      <c r="AR20" t="s">
        <v>69</v>
      </c>
      <c r="AS20">
        <v>18</v>
      </c>
      <c r="AT20">
        <v>8</v>
      </c>
      <c r="AU20">
        <v>2.8129999999999999E-2</v>
      </c>
      <c r="AV20">
        <v>-4.4900000000000001E-3</v>
      </c>
      <c r="AW20">
        <v>8.4199999999999997E-2</v>
      </c>
      <c r="AX20">
        <v>-1.473E-2</v>
      </c>
      <c r="AY20">
        <v>1.2290000000000001E-2</v>
      </c>
      <c r="AZ20">
        <v>-2.2799999999999999E-3</v>
      </c>
      <c r="BA20">
        <v>0.14599999999999999</v>
      </c>
      <c r="BB20">
        <v>1</v>
      </c>
      <c r="BC20" t="s">
        <v>70</v>
      </c>
      <c r="BD20">
        <v>-0.35499999999999998</v>
      </c>
      <c r="BE20">
        <v>-0.35499999999999998</v>
      </c>
      <c r="BF20" t="s">
        <v>139</v>
      </c>
      <c r="BG20">
        <v>-5.8252427184466E-2</v>
      </c>
      <c r="BI20">
        <v>0.14599999999999999</v>
      </c>
      <c r="BJ20">
        <v>-5.8252427184466E-2</v>
      </c>
      <c r="BL20">
        <f t="shared" ref="BL20:BL27" si="7">BL19+0.05</f>
        <v>0.15000000000000002</v>
      </c>
      <c r="BM20">
        <f t="shared" si="5"/>
        <v>1.5730000000000001E-2</v>
      </c>
      <c r="BN20">
        <f t="shared" si="6"/>
        <v>2</v>
      </c>
      <c r="BO20">
        <f t="shared" si="3"/>
        <v>7.8650000000000005E-3</v>
      </c>
      <c r="BP20">
        <v>7.2688749999999996E-2</v>
      </c>
    </row>
    <row r="21" spans="1:80">
      <c r="A21">
        <v>827</v>
      </c>
      <c r="B21" t="s">
        <v>975</v>
      </c>
      <c r="D21" t="s">
        <v>66</v>
      </c>
      <c r="E21">
        <v>889375</v>
      </c>
      <c r="F21">
        <v>889686</v>
      </c>
      <c r="G21" t="s">
        <v>74</v>
      </c>
      <c r="H21">
        <v>104</v>
      </c>
      <c r="I21" t="s">
        <v>106</v>
      </c>
      <c r="J21">
        <v>4</v>
      </c>
      <c r="K21" t="str">
        <f>HYPERLINK("Gene827-zp_tree_all.dnd", "Gene827-tree")</f>
        <v>Gene827-tree</v>
      </c>
      <c r="L21">
        <v>1</v>
      </c>
      <c r="M21">
        <v>3</v>
      </c>
      <c r="N21">
        <v>1</v>
      </c>
      <c r="O21">
        <v>3</v>
      </c>
      <c r="P21">
        <v>0.75</v>
      </c>
      <c r="Q21" t="s">
        <v>65</v>
      </c>
      <c r="R21" t="s">
        <v>86</v>
      </c>
      <c r="S21" t="s">
        <v>66</v>
      </c>
      <c r="T21" t="s">
        <v>66</v>
      </c>
      <c r="U21">
        <v>0</v>
      </c>
      <c r="V21">
        <v>0</v>
      </c>
      <c r="W21">
        <v>5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0</v>
      </c>
      <c r="AI21">
        <v>3</v>
      </c>
      <c r="AJ21">
        <v>1</v>
      </c>
      <c r="AK21">
        <v>10</v>
      </c>
      <c r="AL21">
        <v>4</v>
      </c>
      <c r="AM21">
        <v>0</v>
      </c>
      <c r="AN21">
        <v>1</v>
      </c>
      <c r="AO21" t="s">
        <v>977</v>
      </c>
      <c r="AP21" t="s">
        <v>68</v>
      </c>
      <c r="AQ21">
        <v>0.72899999999999998</v>
      </c>
      <c r="AR21" t="s">
        <v>69</v>
      </c>
      <c r="AS21">
        <v>10</v>
      </c>
      <c r="AT21">
        <v>5</v>
      </c>
      <c r="AU21">
        <v>2.4809999999999999E-2</v>
      </c>
      <c r="AV21">
        <v>-7.5399999999999998E-3</v>
      </c>
      <c r="AW21">
        <v>8.233E-2</v>
      </c>
      <c r="AX21">
        <v>-2.9680000000000002E-2</v>
      </c>
      <c r="AY21">
        <v>1.112E-2</v>
      </c>
      <c r="AZ21">
        <v>-2.5500000000000002E-3</v>
      </c>
      <c r="BA21">
        <v>0.13506000000000001</v>
      </c>
      <c r="BB21">
        <v>1</v>
      </c>
      <c r="BC21" t="s">
        <v>70</v>
      </c>
      <c r="BD21">
        <v>-0.64</v>
      </c>
      <c r="BE21">
        <v>-0.64</v>
      </c>
      <c r="BF21" t="s">
        <v>139</v>
      </c>
      <c r="BG21">
        <v>-0.20805369127516701</v>
      </c>
      <c r="BI21">
        <v>0.13506000000000001</v>
      </c>
      <c r="BJ21">
        <v>-0.20805369127516701</v>
      </c>
      <c r="BL21">
        <f t="shared" si="7"/>
        <v>0.2</v>
      </c>
      <c r="BM21">
        <f t="shared" si="5"/>
        <v>9.1969999999999996E-2</v>
      </c>
      <c r="BN21">
        <f t="shared" si="6"/>
        <v>2</v>
      </c>
      <c r="BO21">
        <f t="shared" si="3"/>
        <v>4.5984999999999998E-2</v>
      </c>
    </row>
    <row r="22" spans="1:80">
      <c r="A22">
        <v>578</v>
      </c>
      <c r="B22" t="s">
        <v>785</v>
      </c>
      <c r="D22" t="s">
        <v>66</v>
      </c>
      <c r="E22">
        <v>612839</v>
      </c>
      <c r="F22">
        <v>613330</v>
      </c>
      <c r="G22" t="s">
        <v>787</v>
      </c>
      <c r="H22">
        <v>164</v>
      </c>
      <c r="I22" t="s">
        <v>63</v>
      </c>
      <c r="J22">
        <v>5</v>
      </c>
      <c r="K22" t="str">
        <f>HYPERLINK("Gene578-zp_tree_all.dnd", "Gene578-tree")</f>
        <v>Gene578-tree</v>
      </c>
      <c r="L22">
        <v>0</v>
      </c>
      <c r="M22">
        <v>5</v>
      </c>
      <c r="N22">
        <v>0</v>
      </c>
      <c r="O22">
        <v>5</v>
      </c>
      <c r="P22">
        <v>1</v>
      </c>
      <c r="Q22" t="s">
        <v>66</v>
      </c>
      <c r="R22" t="s">
        <v>96</v>
      </c>
      <c r="S22" t="s">
        <v>66</v>
      </c>
      <c r="T22" t="s">
        <v>66</v>
      </c>
      <c r="U22">
        <v>1</v>
      </c>
      <c r="V22">
        <v>2</v>
      </c>
      <c r="W22">
        <v>11</v>
      </c>
      <c r="X22">
        <v>0.15384999999999999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2</v>
      </c>
      <c r="AG22">
        <v>11</v>
      </c>
      <c r="AH22">
        <v>0.15384999999999999</v>
      </c>
      <c r="AI22">
        <v>5</v>
      </c>
      <c r="AJ22">
        <v>2</v>
      </c>
      <c r="AK22">
        <v>11</v>
      </c>
      <c r="AL22">
        <v>10</v>
      </c>
      <c r="AM22">
        <v>11</v>
      </c>
      <c r="AN22">
        <v>3</v>
      </c>
      <c r="AO22" t="s">
        <v>788</v>
      </c>
      <c r="AP22" t="s">
        <v>789</v>
      </c>
      <c r="AQ22">
        <v>1.0329999999999999</v>
      </c>
      <c r="AR22" t="s">
        <v>69</v>
      </c>
      <c r="AS22">
        <v>22</v>
      </c>
      <c r="AT22">
        <v>13</v>
      </c>
      <c r="AU22">
        <v>3.2919999999999998E-2</v>
      </c>
      <c r="AV22">
        <v>-4.5300000000000002E-3</v>
      </c>
      <c r="AW22">
        <v>0.10797</v>
      </c>
      <c r="AX22">
        <v>-1.8319999999999999E-2</v>
      </c>
      <c r="AY22">
        <v>1.434E-2</v>
      </c>
      <c r="AZ22">
        <v>-1.32E-3</v>
      </c>
      <c r="BA22">
        <v>0.13281999999999999</v>
      </c>
      <c r="BB22">
        <v>1</v>
      </c>
      <c r="BC22" t="s">
        <v>70</v>
      </c>
      <c r="BD22">
        <v>0.123</v>
      </c>
      <c r="BE22">
        <v>-0.114</v>
      </c>
      <c r="BF22" t="s">
        <v>139</v>
      </c>
      <c r="BG22">
        <v>-0.151785714285714</v>
      </c>
      <c r="BI22">
        <v>0.13281999999999999</v>
      </c>
      <c r="BJ22">
        <v>-0.151785714285714</v>
      </c>
      <c r="BL22">
        <f t="shared" si="7"/>
        <v>0.25</v>
      </c>
      <c r="BM22">
        <f t="shared" si="5"/>
        <v>0</v>
      </c>
      <c r="BN22">
        <f t="shared" si="6"/>
        <v>0</v>
      </c>
    </row>
    <row r="23" spans="1:80">
      <c r="A23">
        <v>3773</v>
      </c>
      <c r="B23" t="s">
        <v>3766</v>
      </c>
      <c r="D23" t="s">
        <v>60</v>
      </c>
      <c r="E23">
        <v>3810090</v>
      </c>
      <c r="F23">
        <v>3810608</v>
      </c>
      <c r="G23" t="s">
        <v>74</v>
      </c>
      <c r="H23">
        <v>173</v>
      </c>
      <c r="I23" t="s">
        <v>106</v>
      </c>
      <c r="J23">
        <v>4</v>
      </c>
      <c r="K23" t="str">
        <f>HYPERLINK("Gene3773-zp_tree_all.dnd", "Gene3773-tree")</f>
        <v>Gene3773-tree</v>
      </c>
      <c r="L23">
        <v>0</v>
      </c>
      <c r="M23">
        <v>4</v>
      </c>
      <c r="N23">
        <v>0</v>
      </c>
      <c r="O23">
        <v>4</v>
      </c>
      <c r="P23">
        <v>1</v>
      </c>
      <c r="Q23" t="s">
        <v>66</v>
      </c>
      <c r="R23" t="s">
        <v>64</v>
      </c>
      <c r="S23" t="s">
        <v>66</v>
      </c>
      <c r="T23" t="s">
        <v>66</v>
      </c>
      <c r="U23">
        <v>0</v>
      </c>
      <c r="V23">
        <v>0</v>
      </c>
      <c r="W23">
        <v>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8</v>
      </c>
      <c r="AH23">
        <v>0</v>
      </c>
      <c r="AI23">
        <v>4</v>
      </c>
      <c r="AJ23">
        <v>0</v>
      </c>
      <c r="AK23">
        <v>21</v>
      </c>
      <c r="AL23">
        <v>9</v>
      </c>
      <c r="AM23">
        <v>0</v>
      </c>
      <c r="AN23">
        <v>0</v>
      </c>
      <c r="AO23" t="s">
        <v>3768</v>
      </c>
      <c r="AP23" t="s">
        <v>68</v>
      </c>
      <c r="AQ23">
        <v>1.3140000000000001</v>
      </c>
      <c r="AR23" t="s">
        <v>69</v>
      </c>
      <c r="AS23">
        <v>21</v>
      </c>
      <c r="AT23">
        <v>9</v>
      </c>
      <c r="AU23">
        <v>2.8899999999999999E-2</v>
      </c>
      <c r="AV23">
        <v>-6.11E-3</v>
      </c>
      <c r="AW23">
        <v>9.393E-2</v>
      </c>
      <c r="AX23">
        <v>-2.5389999999999999E-2</v>
      </c>
      <c r="AY23">
        <v>1.1429999999999999E-2</v>
      </c>
      <c r="AZ23">
        <v>-1.31E-3</v>
      </c>
      <c r="BA23">
        <v>0.1217</v>
      </c>
      <c r="BB23">
        <v>1</v>
      </c>
      <c r="BC23" t="s">
        <v>70</v>
      </c>
      <c r="BD23">
        <v>-0.86099999999999999</v>
      </c>
      <c r="BE23">
        <v>-0.86099999999999999</v>
      </c>
      <c r="BF23" t="s">
        <v>139</v>
      </c>
      <c r="BG23">
        <v>-9.8360655737704902E-2</v>
      </c>
      <c r="BI23">
        <v>0.1217</v>
      </c>
      <c r="BJ23">
        <v>-9.8360655737704902E-2</v>
      </c>
      <c r="BL23">
        <f t="shared" si="7"/>
        <v>0.3</v>
      </c>
      <c r="BM23">
        <f t="shared" si="5"/>
        <v>0</v>
      </c>
      <c r="BN23">
        <f t="shared" si="6"/>
        <v>0</v>
      </c>
    </row>
    <row r="24" spans="1:80">
      <c r="A24">
        <v>1237</v>
      </c>
      <c r="B24" t="s">
        <v>1272</v>
      </c>
      <c r="D24" t="s">
        <v>66</v>
      </c>
      <c r="E24">
        <v>1293779</v>
      </c>
      <c r="F24">
        <v>1293964</v>
      </c>
      <c r="G24" t="s">
        <v>74</v>
      </c>
      <c r="H24">
        <v>62</v>
      </c>
      <c r="I24" t="s">
        <v>85</v>
      </c>
      <c r="J24">
        <v>4</v>
      </c>
      <c r="K24" t="str">
        <f>HYPERLINK("Gene1237-zp_tree_all.dnd", "Gene1237-tree")</f>
        <v>Gene1237-tree</v>
      </c>
      <c r="L24">
        <v>2</v>
      </c>
      <c r="M24">
        <v>2</v>
      </c>
      <c r="N24">
        <v>2</v>
      </c>
      <c r="O24">
        <v>2</v>
      </c>
      <c r="P24">
        <v>0.5</v>
      </c>
      <c r="Q24" t="s">
        <v>124</v>
      </c>
      <c r="R24" t="s">
        <v>124</v>
      </c>
      <c r="S24" t="s">
        <v>66</v>
      </c>
      <c r="T24" t="s">
        <v>66</v>
      </c>
      <c r="U24">
        <v>0</v>
      </c>
      <c r="V24">
        <v>0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</v>
      </c>
      <c r="AH24">
        <v>0</v>
      </c>
      <c r="AI24">
        <v>3</v>
      </c>
      <c r="AJ24">
        <v>1</v>
      </c>
      <c r="AK24">
        <v>3</v>
      </c>
      <c r="AL24">
        <v>2</v>
      </c>
      <c r="AM24">
        <v>1</v>
      </c>
      <c r="AN24">
        <v>0</v>
      </c>
      <c r="AO24" t="s">
        <v>1274</v>
      </c>
      <c r="AP24" t="s">
        <v>68</v>
      </c>
      <c r="AQ24">
        <v>1.474</v>
      </c>
      <c r="AR24" t="s">
        <v>69</v>
      </c>
      <c r="AS24">
        <v>4</v>
      </c>
      <c r="AT24">
        <v>2</v>
      </c>
      <c r="AU24">
        <v>1.703E-2</v>
      </c>
      <c r="AV24">
        <v>-2.3400000000000001E-3</v>
      </c>
      <c r="AW24">
        <v>5.9110000000000003E-2</v>
      </c>
      <c r="AX24">
        <v>-1.2370000000000001E-2</v>
      </c>
      <c r="AY24">
        <v>6.8199999999999997E-3</v>
      </c>
      <c r="AZ24">
        <v>-1.6100000000000001E-3</v>
      </c>
      <c r="BA24">
        <v>0.1154</v>
      </c>
      <c r="BB24">
        <v>0.94899999999999995</v>
      </c>
      <c r="BC24" t="s">
        <v>188</v>
      </c>
      <c r="BD24">
        <v>-0.314</v>
      </c>
      <c r="BE24">
        <v>-0.314</v>
      </c>
      <c r="BF24" t="s">
        <v>139</v>
      </c>
      <c r="BG24">
        <v>-0.146666666666666</v>
      </c>
      <c r="BI24">
        <v>0.1154</v>
      </c>
      <c r="BJ24">
        <v>-0.146666666666666</v>
      </c>
      <c r="BL24">
        <f t="shared" si="7"/>
        <v>0.35</v>
      </c>
      <c r="BM24">
        <f t="shared" si="5"/>
        <v>0</v>
      </c>
      <c r="BN24">
        <f t="shared" si="6"/>
        <v>0</v>
      </c>
    </row>
    <row r="25" spans="1:80">
      <c r="A25">
        <v>1491</v>
      </c>
      <c r="B25" t="s">
        <v>1492</v>
      </c>
      <c r="D25" t="s">
        <v>66</v>
      </c>
      <c r="E25">
        <v>1533330</v>
      </c>
      <c r="F25">
        <v>1533701</v>
      </c>
      <c r="G25" t="s">
        <v>1494</v>
      </c>
      <c r="H25">
        <v>124</v>
      </c>
      <c r="I25" t="s">
        <v>63</v>
      </c>
      <c r="J25">
        <v>5</v>
      </c>
      <c r="K25" t="str">
        <f>HYPERLINK("Gene1491-zp_tree_all.dnd", "Gene1491-tree")</f>
        <v>Gene1491-tree</v>
      </c>
      <c r="L25">
        <v>4</v>
      </c>
      <c r="M25">
        <v>1</v>
      </c>
      <c r="N25">
        <v>3</v>
      </c>
      <c r="O25">
        <v>1</v>
      </c>
      <c r="P25">
        <v>0.25</v>
      </c>
      <c r="Q25" t="s">
        <v>112</v>
      </c>
      <c r="R25" t="s">
        <v>65</v>
      </c>
      <c r="S25" t="s">
        <v>66</v>
      </c>
      <c r="T25" t="s">
        <v>66</v>
      </c>
      <c r="U25">
        <v>0</v>
      </c>
      <c r="V25">
        <v>0</v>
      </c>
      <c r="W25">
        <v>6</v>
      </c>
      <c r="X25">
        <v>0</v>
      </c>
      <c r="Y25">
        <v>0</v>
      </c>
      <c r="Z25">
        <v>0</v>
      </c>
      <c r="AA25">
        <v>0</v>
      </c>
      <c r="AB25">
        <v>3</v>
      </c>
      <c r="AC25">
        <v>0</v>
      </c>
      <c r="AD25">
        <v>0</v>
      </c>
      <c r="AE25">
        <v>0</v>
      </c>
      <c r="AF25">
        <v>0</v>
      </c>
      <c r="AG25">
        <v>3</v>
      </c>
      <c r="AH25">
        <v>0</v>
      </c>
      <c r="AI25">
        <v>3</v>
      </c>
      <c r="AJ25">
        <v>1</v>
      </c>
      <c r="AK25">
        <v>6</v>
      </c>
      <c r="AL25">
        <v>3</v>
      </c>
      <c r="AM25">
        <v>7</v>
      </c>
      <c r="AN25">
        <v>3</v>
      </c>
      <c r="AO25" t="s">
        <v>1495</v>
      </c>
      <c r="AP25" t="s">
        <v>1496</v>
      </c>
      <c r="AQ25">
        <v>0.111</v>
      </c>
      <c r="AR25" t="s">
        <v>69</v>
      </c>
      <c r="AS25">
        <v>13</v>
      </c>
      <c r="AT25">
        <v>6</v>
      </c>
      <c r="AU25">
        <v>3.0020000000000002E-2</v>
      </c>
      <c r="AV25">
        <v>-5.4999999999999997E-3</v>
      </c>
      <c r="AW25">
        <v>0.10549</v>
      </c>
      <c r="AX25">
        <v>-2.2509999999999999E-2</v>
      </c>
      <c r="AY25">
        <v>1.209E-2</v>
      </c>
      <c r="AZ25">
        <v>-2.1099999999999999E-3</v>
      </c>
      <c r="BA25">
        <v>0.11461</v>
      </c>
      <c r="BB25">
        <v>1</v>
      </c>
      <c r="BC25" t="s">
        <v>70</v>
      </c>
      <c r="BD25">
        <v>0.38800000000000001</v>
      </c>
      <c r="BE25">
        <v>0.38800000000000001</v>
      </c>
      <c r="BF25" t="s">
        <v>139</v>
      </c>
      <c r="BG25">
        <v>-6.0402684563758302E-2</v>
      </c>
      <c r="BI25">
        <v>0.11461</v>
      </c>
      <c r="BJ25">
        <v>-6.0402684563758302E-2</v>
      </c>
      <c r="BL25">
        <f t="shared" si="7"/>
        <v>0.39999999999999997</v>
      </c>
      <c r="BM25">
        <f t="shared" si="5"/>
        <v>0</v>
      </c>
      <c r="BN25">
        <f t="shared" si="6"/>
        <v>0</v>
      </c>
    </row>
    <row r="26" spans="1:80">
      <c r="A26">
        <v>1256</v>
      </c>
      <c r="B26" t="s">
        <v>1292</v>
      </c>
      <c r="D26" t="s">
        <v>66</v>
      </c>
      <c r="E26">
        <v>1313843</v>
      </c>
      <c r="F26">
        <v>1314304</v>
      </c>
      <c r="G26" t="s">
        <v>74</v>
      </c>
      <c r="H26">
        <v>154</v>
      </c>
      <c r="I26" t="s">
        <v>63</v>
      </c>
      <c r="J26">
        <v>5</v>
      </c>
      <c r="K26" t="str">
        <f>HYPERLINK("Gene1256-zp_tree_all.dnd", "Gene1256-tree")</f>
        <v>Gene1256-tree</v>
      </c>
      <c r="L26">
        <v>3</v>
      </c>
      <c r="M26">
        <v>2</v>
      </c>
      <c r="N26">
        <v>3</v>
      </c>
      <c r="O26">
        <v>2</v>
      </c>
      <c r="P26">
        <v>0.4</v>
      </c>
      <c r="Q26" t="s">
        <v>86</v>
      </c>
      <c r="R26" t="s">
        <v>124</v>
      </c>
      <c r="S26" t="s">
        <v>66</v>
      </c>
      <c r="T26" t="s">
        <v>66</v>
      </c>
      <c r="U26">
        <v>1</v>
      </c>
      <c r="V26">
        <v>2</v>
      </c>
      <c r="W26">
        <v>7</v>
      </c>
      <c r="X26">
        <v>0.22222</v>
      </c>
      <c r="Y26">
        <v>0</v>
      </c>
      <c r="Z26">
        <v>0</v>
      </c>
      <c r="AA26">
        <v>0</v>
      </c>
      <c r="AB26">
        <v>4</v>
      </c>
      <c r="AC26">
        <v>0</v>
      </c>
      <c r="AD26">
        <v>0</v>
      </c>
      <c r="AE26">
        <v>2</v>
      </c>
      <c r="AF26">
        <v>2</v>
      </c>
      <c r="AG26">
        <v>3</v>
      </c>
      <c r="AH26">
        <v>0.4</v>
      </c>
      <c r="AI26">
        <v>4</v>
      </c>
      <c r="AJ26">
        <v>2</v>
      </c>
      <c r="AK26">
        <v>12</v>
      </c>
      <c r="AL26">
        <v>5</v>
      </c>
      <c r="AM26">
        <v>10</v>
      </c>
      <c r="AN26">
        <v>4</v>
      </c>
      <c r="AO26" t="s">
        <v>1294</v>
      </c>
      <c r="AP26" t="s">
        <v>1295</v>
      </c>
      <c r="AQ26">
        <v>0.05</v>
      </c>
      <c r="AR26" t="s">
        <v>69</v>
      </c>
      <c r="AS26">
        <v>22</v>
      </c>
      <c r="AT26">
        <v>9</v>
      </c>
      <c r="AU26">
        <v>3.202E-2</v>
      </c>
      <c r="AV26">
        <v>-4.7699999999999999E-3</v>
      </c>
      <c r="AW26">
        <v>0.11002000000000001</v>
      </c>
      <c r="AX26">
        <v>-1.7250000000000001E-2</v>
      </c>
      <c r="AY26">
        <v>1.255E-2</v>
      </c>
      <c r="AZ26">
        <v>-2.2699999999999999E-3</v>
      </c>
      <c r="BA26">
        <v>0.11404</v>
      </c>
      <c r="BB26">
        <v>1</v>
      </c>
      <c r="BC26" t="s">
        <v>70</v>
      </c>
      <c r="BD26">
        <v>0.39200000000000002</v>
      </c>
      <c r="BE26">
        <v>-0.20799999999999999</v>
      </c>
      <c r="BF26" t="s">
        <v>139</v>
      </c>
      <c r="BG26">
        <v>7.69230769230769E-2</v>
      </c>
      <c r="BI26">
        <v>0.11404</v>
      </c>
      <c r="BJ26">
        <v>7.69230769230769E-2</v>
      </c>
      <c r="BL26">
        <f t="shared" si="7"/>
        <v>0.44999999999999996</v>
      </c>
      <c r="BM26">
        <f t="shared" si="5"/>
        <v>0</v>
      </c>
      <c r="BN26">
        <f t="shared" si="6"/>
        <v>0</v>
      </c>
    </row>
    <row r="27" spans="1:80">
      <c r="A27">
        <v>985</v>
      </c>
      <c r="B27" t="s">
        <v>1093</v>
      </c>
      <c r="D27" t="s">
        <v>66</v>
      </c>
      <c r="E27">
        <v>1050446</v>
      </c>
      <c r="F27">
        <v>1050661</v>
      </c>
      <c r="G27" t="s">
        <v>74</v>
      </c>
      <c r="H27">
        <v>72</v>
      </c>
      <c r="I27" t="s">
        <v>63</v>
      </c>
      <c r="J27">
        <v>5</v>
      </c>
      <c r="K27" t="str">
        <f>HYPERLINK("Gene985-zp_tree_all.dnd", "Gene985-tree")</f>
        <v>Gene985-tree</v>
      </c>
      <c r="L27">
        <v>5</v>
      </c>
      <c r="M27">
        <v>0</v>
      </c>
      <c r="N27">
        <v>4</v>
      </c>
      <c r="O27">
        <v>0</v>
      </c>
      <c r="P27">
        <v>0</v>
      </c>
      <c r="Q27" t="s">
        <v>135</v>
      </c>
      <c r="R27" t="s">
        <v>66</v>
      </c>
      <c r="S27" t="s">
        <v>66</v>
      </c>
      <c r="T27" t="s">
        <v>66</v>
      </c>
      <c r="U27">
        <v>0</v>
      </c>
      <c r="V27">
        <v>0</v>
      </c>
      <c r="W27">
        <v>2</v>
      </c>
      <c r="X27">
        <v>0</v>
      </c>
      <c r="Y27">
        <v>0</v>
      </c>
      <c r="Z27">
        <v>0</v>
      </c>
      <c r="AA27">
        <v>0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2</v>
      </c>
      <c r="AJ27">
        <v>1</v>
      </c>
      <c r="AK27">
        <v>2</v>
      </c>
      <c r="AL27">
        <v>0</v>
      </c>
      <c r="AM27">
        <v>3</v>
      </c>
      <c r="AN27">
        <v>2</v>
      </c>
      <c r="AO27" t="s">
        <v>68</v>
      </c>
      <c r="AP27" t="s">
        <v>1095</v>
      </c>
      <c r="AQ27">
        <v>0</v>
      </c>
      <c r="AR27" t="s">
        <v>69</v>
      </c>
      <c r="AS27">
        <v>5</v>
      </c>
      <c r="AT27">
        <v>2</v>
      </c>
      <c r="AU27">
        <v>2.0060000000000001E-2</v>
      </c>
      <c r="AV27">
        <v>-4.5900000000000003E-3</v>
      </c>
      <c r="AW27">
        <v>6.991E-2</v>
      </c>
      <c r="AX27">
        <v>-1.494E-2</v>
      </c>
      <c r="AY27">
        <v>7.8799999999999999E-3</v>
      </c>
      <c r="AZ27">
        <v>-1.8600000000000001E-3</v>
      </c>
      <c r="BA27">
        <v>0.11274000000000001</v>
      </c>
      <c r="BB27">
        <v>0.98899999999999999</v>
      </c>
      <c r="BC27" t="s">
        <v>70</v>
      </c>
      <c r="BD27">
        <v>1.3280000000000001</v>
      </c>
      <c r="BE27">
        <v>1.3280000000000001</v>
      </c>
      <c r="BF27" t="s">
        <v>139</v>
      </c>
      <c r="BG27">
        <v>-5.3763440860214999E-2</v>
      </c>
      <c r="BI27">
        <v>0.11274000000000001</v>
      </c>
      <c r="BJ27">
        <v>-5.3763440860214999E-2</v>
      </c>
      <c r="BL27">
        <f t="shared" si="7"/>
        <v>0.49999999999999994</v>
      </c>
      <c r="BM27">
        <f t="shared" si="5"/>
        <v>0</v>
      </c>
      <c r="BN27">
        <f t="shared" si="6"/>
        <v>0</v>
      </c>
    </row>
    <row r="28" spans="1:80">
      <c r="A28">
        <v>2778</v>
      </c>
      <c r="B28" t="s">
        <v>2659</v>
      </c>
      <c r="D28" t="s">
        <v>60</v>
      </c>
      <c r="E28">
        <v>2788680</v>
      </c>
      <c r="F28">
        <v>2788880</v>
      </c>
      <c r="G28" t="s">
        <v>74</v>
      </c>
      <c r="H28">
        <v>67</v>
      </c>
      <c r="I28" t="s">
        <v>63</v>
      </c>
      <c r="J28">
        <v>5</v>
      </c>
      <c r="K28" t="str">
        <f>HYPERLINK("Gene2778-zp_tree_all.dnd", "Gene2778-tree")</f>
        <v>Gene2778-tree</v>
      </c>
      <c r="L28">
        <v>4</v>
      </c>
      <c r="M28">
        <v>1</v>
      </c>
      <c r="N28">
        <v>4</v>
      </c>
      <c r="O28">
        <v>1</v>
      </c>
      <c r="P28">
        <v>0.2</v>
      </c>
      <c r="Q28" t="s">
        <v>64</v>
      </c>
      <c r="R28" t="s">
        <v>65</v>
      </c>
      <c r="S28" t="s">
        <v>66</v>
      </c>
      <c r="T28" t="s">
        <v>66</v>
      </c>
      <c r="U28">
        <v>0</v>
      </c>
      <c r="V28">
        <v>0</v>
      </c>
      <c r="W28">
        <v>3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0</v>
      </c>
      <c r="AI28">
        <v>4</v>
      </c>
      <c r="AJ28">
        <v>2</v>
      </c>
      <c r="AK28">
        <v>4</v>
      </c>
      <c r="AL28">
        <v>3</v>
      </c>
      <c r="AM28">
        <v>4</v>
      </c>
      <c r="AN28">
        <v>1</v>
      </c>
      <c r="AO28" t="s">
        <v>2661</v>
      </c>
      <c r="AP28" t="s">
        <v>2662</v>
      </c>
      <c r="AQ28">
        <v>0.38</v>
      </c>
      <c r="AR28" t="s">
        <v>69</v>
      </c>
      <c r="AS28">
        <v>8</v>
      </c>
      <c r="AT28">
        <v>4</v>
      </c>
      <c r="AU28">
        <v>2.886E-2</v>
      </c>
      <c r="AV28">
        <v>-3.8999999999999998E-3</v>
      </c>
      <c r="AW28">
        <v>0.10396</v>
      </c>
      <c r="AX28">
        <v>-1.6920000000000001E-2</v>
      </c>
      <c r="AY28">
        <v>1.146E-2</v>
      </c>
      <c r="AZ28">
        <v>-2.7399999999999998E-3</v>
      </c>
      <c r="BA28">
        <v>0.11024</v>
      </c>
      <c r="BB28">
        <v>1</v>
      </c>
      <c r="BC28" t="s">
        <v>70</v>
      </c>
      <c r="BD28">
        <v>0.05</v>
      </c>
      <c r="BE28">
        <v>0.05</v>
      </c>
      <c r="BF28" t="s">
        <v>139</v>
      </c>
      <c r="BG28">
        <v>-9.0909090909090898E-2</v>
      </c>
      <c r="BI28">
        <v>0.11024</v>
      </c>
      <c r="BJ28">
        <v>-9.0909090909090898E-2</v>
      </c>
      <c r="BL28">
        <v>0.55000000000000004</v>
      </c>
      <c r="BN28">
        <f t="shared" si="6"/>
        <v>0</v>
      </c>
    </row>
    <row r="29" spans="1:80">
      <c r="A29">
        <v>2439</v>
      </c>
      <c r="B29" t="s">
        <v>2386</v>
      </c>
      <c r="D29" t="s">
        <v>60</v>
      </c>
      <c r="E29">
        <v>2483586</v>
      </c>
      <c r="F29">
        <v>2483870</v>
      </c>
      <c r="G29" t="s">
        <v>74</v>
      </c>
      <c r="H29">
        <v>95</v>
      </c>
      <c r="I29" t="s">
        <v>63</v>
      </c>
      <c r="J29">
        <v>5</v>
      </c>
      <c r="K29" t="str">
        <f>HYPERLINK("Gene2439-zp_tree_all.dnd", "Gene2439-tree")</f>
        <v>Gene2439-tree</v>
      </c>
      <c r="L29">
        <v>3</v>
      </c>
      <c r="M29">
        <v>2</v>
      </c>
      <c r="N29">
        <v>3</v>
      </c>
      <c r="O29">
        <v>2</v>
      </c>
      <c r="P29">
        <v>0.4</v>
      </c>
      <c r="Q29" t="s">
        <v>86</v>
      </c>
      <c r="R29" t="s">
        <v>124</v>
      </c>
      <c r="S29" t="s">
        <v>66</v>
      </c>
      <c r="T29" t="s">
        <v>66</v>
      </c>
      <c r="U29">
        <v>0</v>
      </c>
      <c r="V29">
        <v>0</v>
      </c>
      <c r="W29">
        <v>4</v>
      </c>
      <c r="X29">
        <v>0</v>
      </c>
      <c r="Y29">
        <v>0</v>
      </c>
      <c r="Z29">
        <v>0</v>
      </c>
      <c r="AA29">
        <v>0</v>
      </c>
      <c r="AB29">
        <v>3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3</v>
      </c>
      <c r="AJ29">
        <v>2</v>
      </c>
      <c r="AK29">
        <v>7</v>
      </c>
      <c r="AL29">
        <v>1</v>
      </c>
      <c r="AM29">
        <v>5</v>
      </c>
      <c r="AN29">
        <v>3</v>
      </c>
      <c r="AO29" t="s">
        <v>2388</v>
      </c>
      <c r="AP29" t="s">
        <v>2389</v>
      </c>
      <c r="AQ29">
        <v>1.522</v>
      </c>
      <c r="AR29" t="s">
        <v>69</v>
      </c>
      <c r="AS29">
        <v>12</v>
      </c>
      <c r="AT29">
        <v>4</v>
      </c>
      <c r="AU29">
        <v>2.6950000000000002E-2</v>
      </c>
      <c r="AV29">
        <v>-3.8300000000000001E-3</v>
      </c>
      <c r="AW29">
        <v>9.2810000000000004E-2</v>
      </c>
      <c r="AX29">
        <v>-1.5890000000000001E-2</v>
      </c>
      <c r="AY29">
        <v>1.013E-2</v>
      </c>
      <c r="AZ29">
        <v>-1.5200000000000001E-3</v>
      </c>
      <c r="BA29">
        <v>0.10918</v>
      </c>
      <c r="BB29">
        <v>1</v>
      </c>
      <c r="BC29" t="s">
        <v>70</v>
      </c>
      <c r="BD29">
        <v>0.40600000000000003</v>
      </c>
      <c r="BE29">
        <v>0</v>
      </c>
      <c r="BF29" t="s">
        <v>139</v>
      </c>
      <c r="BG29">
        <v>1.72413793103448E-2</v>
      </c>
      <c r="BI29">
        <v>0.10918</v>
      </c>
      <c r="BJ29">
        <v>1.72413793103448E-2</v>
      </c>
    </row>
    <row r="30" spans="1:80">
      <c r="A30">
        <v>1234</v>
      </c>
      <c r="B30" t="s">
        <v>1268</v>
      </c>
      <c r="D30" t="s">
        <v>66</v>
      </c>
      <c r="E30">
        <v>1290678</v>
      </c>
      <c r="F30">
        <v>1290953</v>
      </c>
      <c r="G30" t="s">
        <v>74</v>
      </c>
      <c r="H30">
        <v>92</v>
      </c>
      <c r="I30" t="s">
        <v>85</v>
      </c>
      <c r="J30">
        <v>4</v>
      </c>
      <c r="K30" t="str">
        <f>HYPERLINK("Gene1234-zp_tree_all.dnd", "Gene1234-tree")</f>
        <v>Gene1234-tree</v>
      </c>
      <c r="L30">
        <v>2</v>
      </c>
      <c r="M30">
        <v>2</v>
      </c>
      <c r="N30">
        <v>2</v>
      </c>
      <c r="O30">
        <v>2</v>
      </c>
      <c r="P30">
        <v>0.5</v>
      </c>
      <c r="Q30" t="s">
        <v>124</v>
      </c>
      <c r="R30" t="s">
        <v>124</v>
      </c>
      <c r="S30" t="s">
        <v>66</v>
      </c>
      <c r="T30" t="s">
        <v>66</v>
      </c>
      <c r="U30">
        <v>0</v>
      </c>
      <c r="V30">
        <v>0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5</v>
      </c>
      <c r="AH30">
        <v>0</v>
      </c>
      <c r="AI30">
        <v>4</v>
      </c>
      <c r="AJ30">
        <v>1</v>
      </c>
      <c r="AK30">
        <v>11</v>
      </c>
      <c r="AL30">
        <v>4</v>
      </c>
      <c r="AM30">
        <v>3</v>
      </c>
      <c r="AN30">
        <v>1</v>
      </c>
      <c r="AO30" t="s">
        <v>1270</v>
      </c>
      <c r="AP30" t="s">
        <v>1271</v>
      </c>
      <c r="AQ30">
        <v>7.2999999999999995E-2</v>
      </c>
      <c r="AR30" t="s">
        <v>69</v>
      </c>
      <c r="AS30">
        <v>14</v>
      </c>
      <c r="AT30">
        <v>5</v>
      </c>
      <c r="AU30">
        <v>3.8510000000000003E-2</v>
      </c>
      <c r="AV30">
        <v>-5.1599999999999997E-3</v>
      </c>
      <c r="AW30">
        <v>0.1358</v>
      </c>
      <c r="AX30">
        <v>-1.8689999999999998E-2</v>
      </c>
      <c r="AY30">
        <v>1.4760000000000001E-2</v>
      </c>
      <c r="AZ30">
        <v>-2.8400000000000001E-3</v>
      </c>
      <c r="BA30">
        <v>0.10867</v>
      </c>
      <c r="BB30">
        <v>1</v>
      </c>
      <c r="BC30" t="s">
        <v>70</v>
      </c>
      <c r="BD30">
        <v>-0.19500000000000001</v>
      </c>
      <c r="BE30">
        <v>-0.19500000000000001</v>
      </c>
      <c r="BF30" t="s">
        <v>139</v>
      </c>
      <c r="BG30">
        <v>0.10091743119266</v>
      </c>
      <c r="BI30">
        <v>0.10867</v>
      </c>
      <c r="BJ30">
        <v>0.10091743119266</v>
      </c>
    </row>
    <row r="31" spans="1:80">
      <c r="A31">
        <v>2609</v>
      </c>
      <c r="B31" t="s">
        <v>2613</v>
      </c>
      <c r="D31" t="s">
        <v>60</v>
      </c>
      <c r="E31">
        <v>2637369</v>
      </c>
      <c r="F31">
        <v>2637500</v>
      </c>
      <c r="G31" t="s">
        <v>74</v>
      </c>
      <c r="H31">
        <v>44</v>
      </c>
      <c r="I31" t="s">
        <v>63</v>
      </c>
      <c r="J31">
        <v>5</v>
      </c>
      <c r="K31" t="str">
        <f>HYPERLINK("Gene2609-zp_tree_all.dnd", "Gene2609-tree")</f>
        <v>Gene2609-tree</v>
      </c>
      <c r="L31">
        <v>4</v>
      </c>
      <c r="M31">
        <v>1</v>
      </c>
      <c r="N31">
        <v>3</v>
      </c>
      <c r="O31">
        <v>1</v>
      </c>
      <c r="P31">
        <v>0.25</v>
      </c>
      <c r="Q31" t="s">
        <v>112</v>
      </c>
      <c r="R31" t="s">
        <v>65</v>
      </c>
      <c r="S31" t="s">
        <v>66</v>
      </c>
      <c r="T31" t="s">
        <v>66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4</v>
      </c>
      <c r="AJ31">
        <v>0</v>
      </c>
      <c r="AK31">
        <v>3</v>
      </c>
      <c r="AL31">
        <v>1</v>
      </c>
      <c r="AM31">
        <v>0</v>
      </c>
      <c r="AN31">
        <v>0</v>
      </c>
      <c r="AO31" t="s">
        <v>2615</v>
      </c>
      <c r="AP31" t="s">
        <v>68</v>
      </c>
      <c r="AQ31">
        <v>0.6</v>
      </c>
      <c r="AR31" t="s">
        <v>69</v>
      </c>
      <c r="AS31">
        <v>3</v>
      </c>
      <c r="AT31">
        <v>1</v>
      </c>
      <c r="AU31">
        <v>1.389E-2</v>
      </c>
      <c r="AV31">
        <v>-1.15E-3</v>
      </c>
      <c r="AW31">
        <v>4.6399999999999997E-2</v>
      </c>
      <c r="AX31">
        <v>-6.94E-3</v>
      </c>
      <c r="AY31">
        <v>4.9199999999999999E-3</v>
      </c>
      <c r="AZ31">
        <v>-1.42E-3</v>
      </c>
      <c r="BA31">
        <v>0.10607</v>
      </c>
      <c r="BB31">
        <v>0.98099999999999998</v>
      </c>
      <c r="BC31" t="s">
        <v>70</v>
      </c>
      <c r="BD31">
        <v>0.69899999999999995</v>
      </c>
      <c r="BE31">
        <v>-1.048</v>
      </c>
      <c r="BF31" t="s">
        <v>139</v>
      </c>
      <c r="BG31">
        <v>-0.16</v>
      </c>
      <c r="BI31">
        <v>0.10607</v>
      </c>
      <c r="BJ31">
        <v>-0.16</v>
      </c>
    </row>
    <row r="32" spans="1:80">
      <c r="A32">
        <v>3103</v>
      </c>
      <c r="B32" t="s">
        <v>3101</v>
      </c>
      <c r="D32" t="s">
        <v>60</v>
      </c>
      <c r="E32">
        <v>3123490</v>
      </c>
      <c r="F32">
        <v>3124002</v>
      </c>
      <c r="G32" t="s">
        <v>3103</v>
      </c>
      <c r="H32">
        <v>171</v>
      </c>
      <c r="I32" t="s">
        <v>106</v>
      </c>
      <c r="J32">
        <v>4</v>
      </c>
      <c r="K32" t="str">
        <f>HYPERLINK("Gene3103-zp_tree_all.dnd", "Gene3103-tree")</f>
        <v>Gene3103-tree</v>
      </c>
      <c r="L32">
        <v>1</v>
      </c>
      <c r="M32">
        <v>3</v>
      </c>
      <c r="N32">
        <v>1</v>
      </c>
      <c r="O32">
        <v>3</v>
      </c>
      <c r="P32">
        <v>0.75</v>
      </c>
      <c r="Q32" t="s">
        <v>65</v>
      </c>
      <c r="R32" t="s">
        <v>86</v>
      </c>
      <c r="S32" t="s">
        <v>66</v>
      </c>
      <c r="T32" t="s">
        <v>66</v>
      </c>
      <c r="U32">
        <v>0</v>
      </c>
      <c r="V32">
        <v>0</v>
      </c>
      <c r="W32">
        <v>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8</v>
      </c>
      <c r="AH32">
        <v>0</v>
      </c>
      <c r="AI32">
        <v>3</v>
      </c>
      <c r="AJ32">
        <v>1</v>
      </c>
      <c r="AK32">
        <v>20</v>
      </c>
      <c r="AL32">
        <v>8</v>
      </c>
      <c r="AM32">
        <v>2</v>
      </c>
      <c r="AN32">
        <v>0</v>
      </c>
      <c r="AO32" t="s">
        <v>3104</v>
      </c>
      <c r="AP32" t="s">
        <v>68</v>
      </c>
      <c r="AQ32">
        <v>0.84599999999999997</v>
      </c>
      <c r="AR32" t="s">
        <v>69</v>
      </c>
      <c r="AS32">
        <v>22</v>
      </c>
      <c r="AT32">
        <v>8</v>
      </c>
      <c r="AU32">
        <v>2.827E-2</v>
      </c>
      <c r="AV32">
        <v>-8.9200000000000008E-3</v>
      </c>
      <c r="AW32">
        <v>9.8129999999999995E-2</v>
      </c>
      <c r="AX32">
        <v>-3.3180000000000001E-2</v>
      </c>
      <c r="AY32">
        <v>1.026E-2</v>
      </c>
      <c r="AZ32">
        <v>-2.8500000000000001E-3</v>
      </c>
      <c r="BA32">
        <v>0.10453999999999999</v>
      </c>
      <c r="BB32">
        <v>1</v>
      </c>
      <c r="BC32" t="s">
        <v>70</v>
      </c>
      <c r="BD32">
        <v>-0.159</v>
      </c>
      <c r="BE32">
        <v>-1.21</v>
      </c>
      <c r="BF32" t="s">
        <v>139</v>
      </c>
      <c r="BG32">
        <v>0.05</v>
      </c>
      <c r="BI32">
        <v>0.10453999999999999</v>
      </c>
      <c r="BJ32">
        <v>0.05</v>
      </c>
    </row>
    <row r="33" spans="1:62">
      <c r="A33">
        <v>428</v>
      </c>
      <c r="B33" t="s">
        <v>687</v>
      </c>
      <c r="D33" t="s">
        <v>66</v>
      </c>
      <c r="E33">
        <v>475587</v>
      </c>
      <c r="F33">
        <v>475874</v>
      </c>
      <c r="G33" t="s">
        <v>74</v>
      </c>
      <c r="H33">
        <v>96</v>
      </c>
      <c r="I33" t="s">
        <v>85</v>
      </c>
      <c r="J33">
        <v>4</v>
      </c>
      <c r="K33" t="str">
        <f>HYPERLINK("Gene428-zp_tree_all.dnd", "Gene428-tree")</f>
        <v>Gene428-tree</v>
      </c>
      <c r="L33">
        <v>1</v>
      </c>
      <c r="M33">
        <v>3</v>
      </c>
      <c r="N33">
        <v>1</v>
      </c>
      <c r="O33">
        <v>3</v>
      </c>
      <c r="P33">
        <v>0.75</v>
      </c>
      <c r="Q33" t="s">
        <v>65</v>
      </c>
      <c r="R33" t="s">
        <v>86</v>
      </c>
      <c r="S33" t="s">
        <v>66</v>
      </c>
      <c r="T33" t="s">
        <v>66</v>
      </c>
      <c r="U33">
        <v>0</v>
      </c>
      <c r="V33">
        <v>0</v>
      </c>
      <c r="W33">
        <v>4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4</v>
      </c>
      <c r="AH33">
        <v>0</v>
      </c>
      <c r="AI33">
        <v>4</v>
      </c>
      <c r="AJ33">
        <v>1</v>
      </c>
      <c r="AK33">
        <v>7</v>
      </c>
      <c r="AL33">
        <v>4</v>
      </c>
      <c r="AM33">
        <v>4</v>
      </c>
      <c r="AN33">
        <v>0</v>
      </c>
      <c r="AO33" t="s">
        <v>689</v>
      </c>
      <c r="AP33" t="s">
        <v>68</v>
      </c>
      <c r="AQ33">
        <v>1.6240000000000001</v>
      </c>
      <c r="AR33" t="s">
        <v>69</v>
      </c>
      <c r="AS33">
        <v>11</v>
      </c>
      <c r="AT33">
        <v>4</v>
      </c>
      <c r="AU33">
        <v>2.836E-2</v>
      </c>
      <c r="AV33">
        <v>-4.13E-3</v>
      </c>
      <c r="AW33">
        <v>9.0730000000000005E-2</v>
      </c>
      <c r="AX33">
        <v>-1.5640000000000001E-2</v>
      </c>
      <c r="AY33">
        <v>9.3699999999999999E-3</v>
      </c>
      <c r="AZ33">
        <v>-1.57E-3</v>
      </c>
      <c r="BA33">
        <v>0.10324</v>
      </c>
      <c r="BB33">
        <v>1</v>
      </c>
      <c r="BC33" t="s">
        <v>70</v>
      </c>
      <c r="BD33">
        <v>-1.9E-2</v>
      </c>
      <c r="BE33">
        <v>-1.9E-2</v>
      </c>
      <c r="BF33" t="s">
        <v>139</v>
      </c>
      <c r="BG33">
        <v>-2.15827338129496E-2</v>
      </c>
      <c r="BI33">
        <v>0.10324</v>
      </c>
      <c r="BJ33">
        <v>-2.15827338129496E-2</v>
      </c>
    </row>
    <row r="34" spans="1:62">
      <c r="A34">
        <v>358</v>
      </c>
      <c r="B34" t="s">
        <v>625</v>
      </c>
      <c r="D34" t="s">
        <v>66</v>
      </c>
      <c r="E34">
        <v>408243</v>
      </c>
      <c r="F34">
        <v>408887</v>
      </c>
      <c r="G34" t="s">
        <v>74</v>
      </c>
      <c r="H34">
        <v>215</v>
      </c>
      <c r="I34" t="s">
        <v>85</v>
      </c>
      <c r="J34">
        <v>4</v>
      </c>
      <c r="K34" t="str">
        <f>HYPERLINK("Gene358-zp_tree_all.dnd", "Gene358-tree")</f>
        <v>Gene358-tree</v>
      </c>
      <c r="L34">
        <v>2</v>
      </c>
      <c r="M34">
        <v>2</v>
      </c>
      <c r="N34">
        <v>2</v>
      </c>
      <c r="O34">
        <v>2</v>
      </c>
      <c r="P34">
        <v>0.5</v>
      </c>
      <c r="Q34" t="s">
        <v>124</v>
      </c>
      <c r="R34" t="s">
        <v>124</v>
      </c>
      <c r="S34" t="s">
        <v>66</v>
      </c>
      <c r="T34" t="s">
        <v>66</v>
      </c>
      <c r="U34">
        <v>0</v>
      </c>
      <c r="V34">
        <v>0</v>
      </c>
      <c r="W34">
        <v>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8</v>
      </c>
      <c r="AH34">
        <v>0</v>
      </c>
      <c r="AI34">
        <v>4</v>
      </c>
      <c r="AJ34">
        <v>1</v>
      </c>
      <c r="AK34">
        <v>25</v>
      </c>
      <c r="AL34">
        <v>8</v>
      </c>
      <c r="AM34">
        <v>1</v>
      </c>
      <c r="AN34">
        <v>0</v>
      </c>
      <c r="AO34" t="s">
        <v>627</v>
      </c>
      <c r="AP34" t="s">
        <v>68</v>
      </c>
      <c r="AQ34">
        <v>0.94499999999999995</v>
      </c>
      <c r="AR34" t="s">
        <v>69</v>
      </c>
      <c r="AS34">
        <v>26</v>
      </c>
      <c r="AT34">
        <v>8</v>
      </c>
      <c r="AU34">
        <v>2.6360000000000001E-2</v>
      </c>
      <c r="AV34">
        <v>-5.0800000000000003E-3</v>
      </c>
      <c r="AW34">
        <v>8.3570000000000005E-2</v>
      </c>
      <c r="AX34">
        <v>-1.4670000000000001E-2</v>
      </c>
      <c r="AY34">
        <v>8.4200000000000004E-3</v>
      </c>
      <c r="AZ34">
        <v>-2.4399999999999999E-3</v>
      </c>
      <c r="BA34">
        <v>0.10077</v>
      </c>
      <c r="BB34">
        <v>1</v>
      </c>
      <c r="BC34" t="s">
        <v>70</v>
      </c>
      <c r="BD34">
        <v>-0.57499999999999996</v>
      </c>
      <c r="BE34">
        <v>-0.86299999999999999</v>
      </c>
      <c r="BF34" t="s">
        <v>139</v>
      </c>
      <c r="BG34">
        <v>-6.2111801242236003E-2</v>
      </c>
      <c r="BI34">
        <v>0.10077</v>
      </c>
      <c r="BJ34">
        <v>-6.2111801242236003E-2</v>
      </c>
    </row>
    <row r="35" spans="1:62">
      <c r="A35">
        <v>3805</v>
      </c>
      <c r="B35" t="s">
        <v>3782</v>
      </c>
      <c r="D35" t="s">
        <v>60</v>
      </c>
      <c r="E35">
        <v>3846001</v>
      </c>
      <c r="F35">
        <v>3847143</v>
      </c>
      <c r="G35" t="s">
        <v>3784</v>
      </c>
      <c r="H35">
        <v>381</v>
      </c>
      <c r="I35" t="s">
        <v>85</v>
      </c>
      <c r="J35">
        <v>4</v>
      </c>
      <c r="K35" t="str">
        <f>HYPERLINK("Gene3805-zp_tree_all.dnd", "Gene3805-tree")</f>
        <v>Gene3805-tree</v>
      </c>
      <c r="L35">
        <v>0</v>
      </c>
      <c r="M35">
        <v>4</v>
      </c>
      <c r="N35">
        <v>0</v>
      </c>
      <c r="O35">
        <v>4</v>
      </c>
      <c r="P35">
        <v>1</v>
      </c>
      <c r="Q35" t="s">
        <v>66</v>
      </c>
      <c r="R35" t="s">
        <v>64</v>
      </c>
      <c r="S35" t="s">
        <v>66</v>
      </c>
      <c r="T35" t="s">
        <v>66</v>
      </c>
      <c r="U35">
        <v>1</v>
      </c>
      <c r="V35">
        <v>2</v>
      </c>
      <c r="W35">
        <v>15</v>
      </c>
      <c r="X35">
        <v>0.11765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</v>
      </c>
      <c r="AE35">
        <v>0</v>
      </c>
      <c r="AF35">
        <v>2</v>
      </c>
      <c r="AG35">
        <v>15</v>
      </c>
      <c r="AH35">
        <v>0.11765</v>
      </c>
      <c r="AI35">
        <v>4</v>
      </c>
      <c r="AJ35">
        <v>1</v>
      </c>
      <c r="AK35">
        <v>35</v>
      </c>
      <c r="AL35">
        <v>15</v>
      </c>
      <c r="AM35">
        <v>5</v>
      </c>
      <c r="AN35">
        <v>2</v>
      </c>
      <c r="AO35" t="s">
        <v>3785</v>
      </c>
      <c r="AP35" t="s">
        <v>3786</v>
      </c>
      <c r="AQ35">
        <v>6.0000000000000001E-3</v>
      </c>
      <c r="AR35" t="s">
        <v>69</v>
      </c>
      <c r="AS35">
        <v>40</v>
      </c>
      <c r="AT35">
        <v>17</v>
      </c>
      <c r="AU35">
        <v>2.5659999999999999E-2</v>
      </c>
      <c r="AV35">
        <v>-6.3200000000000001E-3</v>
      </c>
      <c r="AW35">
        <v>9.4539999999999999E-2</v>
      </c>
      <c r="AX35">
        <v>-2.7699999999999999E-2</v>
      </c>
      <c r="AY35">
        <v>9.4999999999999998E-3</v>
      </c>
      <c r="AZ35">
        <v>-1.5200000000000001E-3</v>
      </c>
      <c r="BA35">
        <v>0.10051</v>
      </c>
      <c r="BB35">
        <v>1</v>
      </c>
      <c r="BC35" t="s">
        <v>70</v>
      </c>
      <c r="BD35">
        <v>-0.41299999999999998</v>
      </c>
      <c r="BE35">
        <v>-0.41299999999999998</v>
      </c>
      <c r="BF35" t="s">
        <v>139</v>
      </c>
      <c r="BG35">
        <v>-0.114914425427872</v>
      </c>
      <c r="BI35">
        <v>0.10051</v>
      </c>
      <c r="BJ35">
        <v>-0.114914425427872</v>
      </c>
    </row>
    <row r="36" spans="1:62">
      <c r="A36">
        <v>4071</v>
      </c>
      <c r="B36" t="s">
        <v>4045</v>
      </c>
      <c r="D36" t="s">
        <v>60</v>
      </c>
      <c r="E36">
        <v>4118950</v>
      </c>
      <c r="F36">
        <v>4119510</v>
      </c>
      <c r="G36" t="s">
        <v>4047</v>
      </c>
      <c r="H36">
        <v>187</v>
      </c>
      <c r="I36" t="s">
        <v>63</v>
      </c>
      <c r="J36">
        <v>5</v>
      </c>
      <c r="K36" t="str">
        <f>HYPERLINK("Gene4071-zp_tree_all.dnd", "Gene4071-tree")</f>
        <v>Gene4071-tree</v>
      </c>
      <c r="L36">
        <v>3</v>
      </c>
      <c r="M36">
        <v>2</v>
      </c>
      <c r="N36">
        <v>3</v>
      </c>
      <c r="O36">
        <v>2</v>
      </c>
      <c r="P36">
        <v>0.4</v>
      </c>
      <c r="Q36" t="s">
        <v>86</v>
      </c>
      <c r="R36" t="s">
        <v>124</v>
      </c>
      <c r="S36" t="s">
        <v>66</v>
      </c>
      <c r="T36" t="s">
        <v>66</v>
      </c>
      <c r="U36">
        <v>0</v>
      </c>
      <c r="V36">
        <v>0</v>
      </c>
      <c r="W36">
        <v>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6</v>
      </c>
      <c r="AH36">
        <v>0</v>
      </c>
      <c r="AI36">
        <v>5</v>
      </c>
      <c r="AJ36">
        <v>2</v>
      </c>
      <c r="AK36">
        <v>11</v>
      </c>
      <c r="AL36">
        <v>2</v>
      </c>
      <c r="AM36">
        <v>8</v>
      </c>
      <c r="AN36">
        <v>4</v>
      </c>
      <c r="AO36" t="s">
        <v>4048</v>
      </c>
      <c r="AP36" t="s">
        <v>4049</v>
      </c>
      <c r="AQ36">
        <v>0.54500000000000004</v>
      </c>
      <c r="AR36" t="s">
        <v>69</v>
      </c>
      <c r="AS36">
        <v>19</v>
      </c>
      <c r="AT36">
        <v>6</v>
      </c>
      <c r="AU36">
        <v>2.1389999999999999E-2</v>
      </c>
      <c r="AV36">
        <v>-3.63E-3</v>
      </c>
      <c r="AW36">
        <v>7.4569999999999997E-2</v>
      </c>
      <c r="AX36">
        <v>-1.18E-2</v>
      </c>
      <c r="AY36">
        <v>7.4000000000000003E-3</v>
      </c>
      <c r="AZ36">
        <v>-1.66E-3</v>
      </c>
      <c r="BA36">
        <v>9.9260000000000001E-2</v>
      </c>
      <c r="BB36">
        <v>1</v>
      </c>
      <c r="BC36" t="s">
        <v>70</v>
      </c>
      <c r="BD36">
        <v>0.64600000000000002</v>
      </c>
      <c r="BE36">
        <v>0.377</v>
      </c>
      <c r="BF36" t="s">
        <v>139</v>
      </c>
      <c r="BG36">
        <v>5.3497942386831199E-2</v>
      </c>
      <c r="BI36">
        <v>9.9260000000000001E-2</v>
      </c>
      <c r="BJ36">
        <v>5.3497942386831199E-2</v>
      </c>
    </row>
    <row r="37" spans="1:62">
      <c r="A37">
        <v>3154</v>
      </c>
      <c r="B37" t="s">
        <v>3149</v>
      </c>
      <c r="D37" t="s">
        <v>60</v>
      </c>
      <c r="E37">
        <v>3182707</v>
      </c>
      <c r="F37">
        <v>3183192</v>
      </c>
      <c r="G37" t="s">
        <v>74</v>
      </c>
      <c r="H37">
        <v>162</v>
      </c>
      <c r="I37" t="s">
        <v>85</v>
      </c>
      <c r="J37">
        <v>4</v>
      </c>
      <c r="K37" t="str">
        <f>HYPERLINK("Gene3154-zp_tree_all.dnd", "Gene3154-tree")</f>
        <v>Gene3154-tree</v>
      </c>
      <c r="L37">
        <v>2</v>
      </c>
      <c r="M37">
        <v>2</v>
      </c>
      <c r="N37">
        <v>2</v>
      </c>
      <c r="O37">
        <v>2</v>
      </c>
      <c r="P37">
        <v>0.5</v>
      </c>
      <c r="Q37" t="s">
        <v>124</v>
      </c>
      <c r="R37" t="s">
        <v>124</v>
      </c>
      <c r="S37" t="s">
        <v>66</v>
      </c>
      <c r="T37" t="s">
        <v>66</v>
      </c>
      <c r="U37">
        <v>0</v>
      </c>
      <c r="V37">
        <v>0</v>
      </c>
      <c r="W37">
        <v>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8</v>
      </c>
      <c r="AH37">
        <v>0</v>
      </c>
      <c r="AI37">
        <v>4</v>
      </c>
      <c r="AJ37">
        <v>0</v>
      </c>
      <c r="AK37">
        <v>18</v>
      </c>
      <c r="AL37">
        <v>8</v>
      </c>
      <c r="AM37">
        <v>0</v>
      </c>
      <c r="AN37">
        <v>0</v>
      </c>
      <c r="AO37" t="s">
        <v>3151</v>
      </c>
      <c r="AP37" t="s">
        <v>68</v>
      </c>
      <c r="AQ37">
        <v>0.495</v>
      </c>
      <c r="AR37" t="s">
        <v>69</v>
      </c>
      <c r="AS37">
        <v>18</v>
      </c>
      <c r="AT37">
        <v>8</v>
      </c>
      <c r="AU37">
        <v>2.6749999999999999E-2</v>
      </c>
      <c r="AV37">
        <v>-8.6899999999999998E-3</v>
      </c>
      <c r="AW37">
        <v>0.10553</v>
      </c>
      <c r="AX37">
        <v>-3.44E-2</v>
      </c>
      <c r="AY37">
        <v>1.0359999999999999E-2</v>
      </c>
      <c r="AZ37">
        <v>-3.5699999999999998E-3</v>
      </c>
      <c r="BA37">
        <v>9.8199999999999996E-2</v>
      </c>
      <c r="BB37">
        <v>1</v>
      </c>
      <c r="BC37" t="s">
        <v>70</v>
      </c>
      <c r="BD37">
        <v>-0.85899999999999999</v>
      </c>
      <c r="BE37">
        <v>-0.85899999999999999</v>
      </c>
      <c r="BF37" t="s">
        <v>139</v>
      </c>
      <c r="BG37">
        <v>-0.15686274509803899</v>
      </c>
      <c r="BI37">
        <v>9.8199999999999996E-2</v>
      </c>
      <c r="BJ37">
        <v>-0.15686274509803899</v>
      </c>
    </row>
    <row r="38" spans="1:62">
      <c r="A38">
        <v>1303</v>
      </c>
      <c r="B38" t="s">
        <v>1320</v>
      </c>
      <c r="D38" t="s">
        <v>66</v>
      </c>
      <c r="E38">
        <v>1348445</v>
      </c>
      <c r="F38">
        <v>1348612</v>
      </c>
      <c r="G38" t="s">
        <v>1322</v>
      </c>
      <c r="H38">
        <v>56</v>
      </c>
      <c r="I38" t="s">
        <v>63</v>
      </c>
      <c r="J38">
        <v>5</v>
      </c>
      <c r="K38" t="str">
        <f>HYPERLINK("Gene1303-zp_tree_all.dnd", "Gene1303-tree")</f>
        <v>Gene1303-tree</v>
      </c>
      <c r="L38">
        <v>1</v>
      </c>
      <c r="M38">
        <v>4</v>
      </c>
      <c r="N38">
        <v>1</v>
      </c>
      <c r="O38">
        <v>3</v>
      </c>
      <c r="P38">
        <v>0.75</v>
      </c>
      <c r="Q38" t="s">
        <v>65</v>
      </c>
      <c r="R38" t="s">
        <v>112</v>
      </c>
      <c r="S38">
        <v>5</v>
      </c>
      <c r="T38" t="s">
        <v>239</v>
      </c>
      <c r="U38">
        <v>0</v>
      </c>
      <c r="V38">
        <v>0</v>
      </c>
      <c r="W38">
        <v>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0</v>
      </c>
      <c r="AI38">
        <v>3</v>
      </c>
      <c r="AJ38">
        <v>1</v>
      </c>
      <c r="AK38">
        <v>7</v>
      </c>
      <c r="AL38">
        <v>2</v>
      </c>
      <c r="AM38">
        <v>3</v>
      </c>
      <c r="AN38">
        <v>1</v>
      </c>
      <c r="AO38" t="s">
        <v>1323</v>
      </c>
      <c r="AP38" t="s">
        <v>1324</v>
      </c>
      <c r="AQ38">
        <v>0.41399999999999998</v>
      </c>
      <c r="AR38" t="s">
        <v>69</v>
      </c>
      <c r="AS38">
        <v>10</v>
      </c>
      <c r="AT38">
        <v>3</v>
      </c>
      <c r="AU38">
        <v>4.2659999999999997E-2</v>
      </c>
      <c r="AV38">
        <v>-6.1799999999999997E-3</v>
      </c>
      <c r="AW38">
        <v>0.15833</v>
      </c>
      <c r="AX38">
        <v>-2.5219999999999999E-2</v>
      </c>
      <c r="AY38">
        <v>1.545E-2</v>
      </c>
      <c r="AZ38">
        <v>-3.6800000000000001E-3</v>
      </c>
      <c r="BA38">
        <v>9.758E-2</v>
      </c>
      <c r="BB38">
        <v>1</v>
      </c>
      <c r="BC38" t="s">
        <v>70</v>
      </c>
      <c r="BD38">
        <v>-0.27900000000000003</v>
      </c>
      <c r="BE38">
        <v>-0.27900000000000003</v>
      </c>
      <c r="BF38" t="s">
        <v>139</v>
      </c>
      <c r="BG38">
        <v>0</v>
      </c>
      <c r="BI38">
        <v>9.758E-2</v>
      </c>
      <c r="BJ38">
        <v>0</v>
      </c>
    </row>
    <row r="39" spans="1:62">
      <c r="A39">
        <v>1370</v>
      </c>
      <c r="B39" t="s">
        <v>1361</v>
      </c>
      <c r="D39" t="s">
        <v>66</v>
      </c>
      <c r="E39">
        <v>1414128</v>
      </c>
      <c r="F39">
        <v>1414826</v>
      </c>
      <c r="G39" t="s">
        <v>74</v>
      </c>
      <c r="H39">
        <v>233</v>
      </c>
      <c r="I39" t="s">
        <v>85</v>
      </c>
      <c r="J39">
        <v>4</v>
      </c>
      <c r="K39" t="str">
        <f>HYPERLINK("Gene1370-zp_tree_all.dnd", "Gene1370-tree")</f>
        <v>Gene1370-tree</v>
      </c>
      <c r="L39">
        <v>2</v>
      </c>
      <c r="M39">
        <v>2</v>
      </c>
      <c r="N39">
        <v>2</v>
      </c>
      <c r="O39">
        <v>2</v>
      </c>
      <c r="P39">
        <v>0.5</v>
      </c>
      <c r="Q39" t="s">
        <v>124</v>
      </c>
      <c r="R39" t="s">
        <v>124</v>
      </c>
      <c r="S39" t="s">
        <v>66</v>
      </c>
      <c r="T39" t="s">
        <v>66</v>
      </c>
      <c r="U39">
        <v>0</v>
      </c>
      <c r="V39">
        <v>0</v>
      </c>
      <c r="W39">
        <v>9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8</v>
      </c>
      <c r="AH39">
        <v>0</v>
      </c>
      <c r="AI39">
        <v>4</v>
      </c>
      <c r="AJ39">
        <v>1</v>
      </c>
      <c r="AK39">
        <v>26</v>
      </c>
      <c r="AL39">
        <v>9</v>
      </c>
      <c r="AM39">
        <v>2</v>
      </c>
      <c r="AN39">
        <v>1</v>
      </c>
      <c r="AO39" t="s">
        <v>1363</v>
      </c>
      <c r="AP39" t="s">
        <v>1364</v>
      </c>
      <c r="AQ39">
        <v>0.27300000000000002</v>
      </c>
      <c r="AR39" t="s">
        <v>69</v>
      </c>
      <c r="AS39">
        <v>28</v>
      </c>
      <c r="AT39">
        <v>10</v>
      </c>
      <c r="AU39">
        <v>2.7779999999999999E-2</v>
      </c>
      <c r="AV39">
        <v>-7.9100000000000004E-3</v>
      </c>
      <c r="AW39">
        <v>9.9970000000000003E-2</v>
      </c>
      <c r="AX39">
        <v>-2.869E-2</v>
      </c>
      <c r="AY39">
        <v>9.6699999999999998E-3</v>
      </c>
      <c r="AZ39">
        <v>-2.98E-3</v>
      </c>
      <c r="BA39">
        <v>9.6710000000000004E-2</v>
      </c>
      <c r="BB39">
        <v>1</v>
      </c>
      <c r="BC39" t="s">
        <v>70</v>
      </c>
      <c r="BD39">
        <v>-0.436</v>
      </c>
      <c r="BE39">
        <v>-0.69299999999999995</v>
      </c>
      <c r="BF39" t="s">
        <v>139</v>
      </c>
      <c r="BG39">
        <v>9.0277777777777707E-2</v>
      </c>
      <c r="BI39">
        <v>9.6710000000000004E-2</v>
      </c>
      <c r="BJ39">
        <v>9.0277777777777707E-2</v>
      </c>
    </row>
    <row r="40" spans="1:62">
      <c r="A40">
        <v>3343</v>
      </c>
      <c r="B40" t="s">
        <v>3360</v>
      </c>
      <c r="D40" t="s">
        <v>60</v>
      </c>
      <c r="E40">
        <v>3373743</v>
      </c>
      <c r="F40">
        <v>3373985</v>
      </c>
      <c r="G40" t="s">
        <v>74</v>
      </c>
      <c r="H40">
        <v>81</v>
      </c>
      <c r="I40" t="s">
        <v>63</v>
      </c>
      <c r="J40">
        <v>5</v>
      </c>
      <c r="K40" t="str">
        <f>HYPERLINK("Gene3343-zp_tree_all.dnd", "Gene3343-tree")</f>
        <v>Gene3343-tree</v>
      </c>
      <c r="L40">
        <v>4</v>
      </c>
      <c r="M40">
        <v>1</v>
      </c>
      <c r="N40">
        <v>3</v>
      </c>
      <c r="O40">
        <v>1</v>
      </c>
      <c r="P40">
        <v>0.25</v>
      </c>
      <c r="Q40" t="s">
        <v>112</v>
      </c>
      <c r="R40" t="s">
        <v>65</v>
      </c>
      <c r="S40" t="s">
        <v>66</v>
      </c>
      <c r="T40" t="s">
        <v>66</v>
      </c>
      <c r="U40">
        <v>0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3</v>
      </c>
      <c r="AJ40">
        <v>1</v>
      </c>
      <c r="AK40">
        <v>3</v>
      </c>
      <c r="AL40">
        <v>1</v>
      </c>
      <c r="AM40">
        <v>2</v>
      </c>
      <c r="AN40">
        <v>1</v>
      </c>
      <c r="AO40" t="s">
        <v>3362</v>
      </c>
      <c r="AP40" t="s">
        <v>3363</v>
      </c>
      <c r="AQ40">
        <v>0.31900000000000001</v>
      </c>
      <c r="AR40" t="s">
        <v>69</v>
      </c>
      <c r="AS40">
        <v>5</v>
      </c>
      <c r="AT40">
        <v>2</v>
      </c>
      <c r="AU40">
        <v>1.5779999999999999E-2</v>
      </c>
      <c r="AV40">
        <v>-2.98E-3</v>
      </c>
      <c r="AW40">
        <v>6.1879999999999998E-2</v>
      </c>
      <c r="AX40">
        <v>-1.4630000000000001E-2</v>
      </c>
      <c r="AY40">
        <v>5.94E-3</v>
      </c>
      <c r="AZ40">
        <v>-1.0300000000000001E-3</v>
      </c>
      <c r="BA40">
        <v>9.5979999999999996E-2</v>
      </c>
      <c r="BB40">
        <v>0.97499999999999998</v>
      </c>
      <c r="BC40" t="s">
        <v>70</v>
      </c>
      <c r="BD40">
        <v>1.002</v>
      </c>
      <c r="BE40">
        <v>-0.191</v>
      </c>
      <c r="BF40" t="s">
        <v>139</v>
      </c>
      <c r="BG40">
        <v>9.7345132743362803E-2</v>
      </c>
      <c r="BI40">
        <v>9.5979999999999996E-2</v>
      </c>
      <c r="BJ40">
        <v>9.7345132743362803E-2</v>
      </c>
    </row>
    <row r="41" spans="1:62">
      <c r="A41">
        <v>3202</v>
      </c>
      <c r="B41" t="s">
        <v>3183</v>
      </c>
      <c r="D41" t="s">
        <v>60</v>
      </c>
      <c r="E41">
        <v>3232640</v>
      </c>
      <c r="F41">
        <v>3233815</v>
      </c>
      <c r="G41" t="s">
        <v>525</v>
      </c>
      <c r="H41">
        <v>392</v>
      </c>
      <c r="I41" t="s">
        <v>63</v>
      </c>
      <c r="J41">
        <v>5</v>
      </c>
      <c r="K41" t="str">
        <f>HYPERLINK("Gene3202-zp_tree_all.dnd", "Gene3202-tree")</f>
        <v>Gene3202-tree</v>
      </c>
      <c r="L41">
        <v>0</v>
      </c>
      <c r="M41">
        <v>5</v>
      </c>
      <c r="N41">
        <v>0</v>
      </c>
      <c r="O41">
        <v>5</v>
      </c>
      <c r="P41">
        <v>1</v>
      </c>
      <c r="Q41" t="s">
        <v>66</v>
      </c>
      <c r="R41" t="s">
        <v>96</v>
      </c>
      <c r="S41" t="s">
        <v>66</v>
      </c>
      <c r="T41" t="s">
        <v>66</v>
      </c>
      <c r="U41">
        <v>1</v>
      </c>
      <c r="V41">
        <v>2</v>
      </c>
      <c r="W41">
        <v>14</v>
      </c>
      <c r="X41">
        <v>0.125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</v>
      </c>
      <c r="AF41">
        <v>2</v>
      </c>
      <c r="AG41">
        <v>14</v>
      </c>
      <c r="AH41">
        <v>0.125</v>
      </c>
      <c r="AI41">
        <v>5</v>
      </c>
      <c r="AJ41">
        <v>2</v>
      </c>
      <c r="AK41">
        <v>28</v>
      </c>
      <c r="AL41">
        <v>8</v>
      </c>
      <c r="AM41">
        <v>27</v>
      </c>
      <c r="AN41">
        <v>9</v>
      </c>
      <c r="AO41" t="s">
        <v>3185</v>
      </c>
      <c r="AP41" t="s">
        <v>3186</v>
      </c>
      <c r="AQ41">
        <v>0.16600000000000001</v>
      </c>
      <c r="AR41" t="s">
        <v>69</v>
      </c>
      <c r="AS41">
        <v>55</v>
      </c>
      <c r="AT41">
        <v>17</v>
      </c>
      <c r="AU41">
        <v>2.9760000000000002E-2</v>
      </c>
      <c r="AV41">
        <v>-4.3600000000000002E-3</v>
      </c>
      <c r="AW41">
        <v>9.9680000000000005E-2</v>
      </c>
      <c r="AX41">
        <v>-1.5299999999999999E-2</v>
      </c>
      <c r="AY41">
        <v>9.5499999999999995E-3</v>
      </c>
      <c r="AZ41">
        <v>-1.4400000000000001E-3</v>
      </c>
      <c r="BA41">
        <v>9.5780000000000004E-2</v>
      </c>
      <c r="BB41">
        <v>1</v>
      </c>
      <c r="BC41" t="s">
        <v>70</v>
      </c>
      <c r="BD41">
        <v>0.43</v>
      </c>
      <c r="BE41">
        <v>0.33900000000000002</v>
      </c>
      <c r="BF41" t="s">
        <v>139</v>
      </c>
      <c r="BG41">
        <v>2.40549828178694E-2</v>
      </c>
      <c r="BI41">
        <v>9.5780000000000004E-2</v>
      </c>
      <c r="BJ41">
        <v>2.40549828178694E-2</v>
      </c>
    </row>
    <row r="42" spans="1:62">
      <c r="A42">
        <v>2237</v>
      </c>
      <c r="B42" t="s">
        <v>2149</v>
      </c>
      <c r="D42" t="s">
        <v>60</v>
      </c>
      <c r="E42">
        <v>2305378</v>
      </c>
      <c r="F42">
        <v>2306280</v>
      </c>
      <c r="G42" t="s">
        <v>2151</v>
      </c>
      <c r="H42">
        <v>301</v>
      </c>
      <c r="I42" t="s">
        <v>63</v>
      </c>
      <c r="J42">
        <v>5</v>
      </c>
      <c r="K42" t="str">
        <f>HYPERLINK("Gene2237-zp_tree_all.dnd", "Gene2237-tree")</f>
        <v>Gene2237-tree</v>
      </c>
      <c r="L42">
        <v>1</v>
      </c>
      <c r="M42">
        <v>4</v>
      </c>
      <c r="N42">
        <v>1</v>
      </c>
      <c r="O42">
        <v>4</v>
      </c>
      <c r="P42">
        <v>0.8</v>
      </c>
      <c r="Q42" t="s">
        <v>65</v>
      </c>
      <c r="R42" t="s">
        <v>64</v>
      </c>
      <c r="S42" t="s">
        <v>66</v>
      </c>
      <c r="T42" t="s">
        <v>66</v>
      </c>
      <c r="U42">
        <v>0</v>
      </c>
      <c r="V42">
        <v>0</v>
      </c>
      <c r="W42">
        <v>11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11</v>
      </c>
      <c r="AH42">
        <v>0</v>
      </c>
      <c r="AI42">
        <v>5</v>
      </c>
      <c r="AJ42">
        <v>1</v>
      </c>
      <c r="AK42">
        <v>15</v>
      </c>
      <c r="AL42">
        <v>6</v>
      </c>
      <c r="AM42">
        <v>18</v>
      </c>
      <c r="AN42">
        <v>6</v>
      </c>
      <c r="AO42" t="s">
        <v>2152</v>
      </c>
      <c r="AP42" t="s">
        <v>2153</v>
      </c>
      <c r="AQ42">
        <v>0.51100000000000001</v>
      </c>
      <c r="AR42" t="s">
        <v>69</v>
      </c>
      <c r="AS42">
        <v>33</v>
      </c>
      <c r="AT42">
        <v>12</v>
      </c>
      <c r="AU42">
        <v>2.4580000000000001E-2</v>
      </c>
      <c r="AV42">
        <v>-4.4099999999999999E-3</v>
      </c>
      <c r="AW42">
        <v>9.085E-2</v>
      </c>
      <c r="AX42">
        <v>-1.694E-2</v>
      </c>
      <c r="AY42">
        <v>8.5199999999999998E-3</v>
      </c>
      <c r="AZ42">
        <v>-1.5200000000000001E-3</v>
      </c>
      <c r="BA42">
        <v>9.375E-2</v>
      </c>
      <c r="BB42">
        <v>1</v>
      </c>
      <c r="BC42" t="s">
        <v>70</v>
      </c>
      <c r="BD42">
        <v>0.56899999999999995</v>
      </c>
      <c r="BE42">
        <v>0.20399999999999999</v>
      </c>
      <c r="BF42" t="s">
        <v>139</v>
      </c>
      <c r="BG42">
        <v>-1.0810810810810799E-2</v>
      </c>
      <c r="BI42">
        <v>9.375E-2</v>
      </c>
      <c r="BJ42">
        <v>-1.0810810810810799E-2</v>
      </c>
    </row>
    <row r="43" spans="1:62">
      <c r="A43">
        <v>2761</v>
      </c>
      <c r="B43" t="s">
        <v>2650</v>
      </c>
      <c r="D43" t="s">
        <v>60</v>
      </c>
      <c r="E43">
        <v>2769850</v>
      </c>
      <c r="F43">
        <v>2770347</v>
      </c>
      <c r="G43" t="s">
        <v>2652</v>
      </c>
      <c r="H43">
        <v>166</v>
      </c>
      <c r="I43" t="s">
        <v>2653</v>
      </c>
      <c r="J43">
        <v>4</v>
      </c>
      <c r="K43" t="str">
        <f>HYPERLINK("Gene2761-zp_tree_all.dnd", "Gene2761-tree")</f>
        <v>Gene2761-tree</v>
      </c>
      <c r="L43">
        <v>2</v>
      </c>
      <c r="M43">
        <v>2</v>
      </c>
      <c r="N43">
        <v>2</v>
      </c>
      <c r="O43">
        <v>2</v>
      </c>
      <c r="P43">
        <v>0.5</v>
      </c>
      <c r="Q43" t="s">
        <v>124</v>
      </c>
      <c r="R43" t="s">
        <v>124</v>
      </c>
      <c r="S43" t="s">
        <v>66</v>
      </c>
      <c r="T43" t="s">
        <v>66</v>
      </c>
      <c r="U43">
        <v>1</v>
      </c>
      <c r="V43">
        <v>2</v>
      </c>
      <c r="W43">
        <v>4</v>
      </c>
      <c r="X43">
        <v>0.33333000000000002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2</v>
      </c>
      <c r="AF43">
        <v>2</v>
      </c>
      <c r="AG43">
        <v>4</v>
      </c>
      <c r="AH43">
        <v>0.33333000000000002</v>
      </c>
      <c r="AI43">
        <v>4</v>
      </c>
      <c r="AJ43">
        <v>1</v>
      </c>
      <c r="AK43">
        <v>6</v>
      </c>
      <c r="AL43">
        <v>3</v>
      </c>
      <c r="AM43">
        <v>8</v>
      </c>
      <c r="AN43">
        <v>3</v>
      </c>
      <c r="AO43" t="s">
        <v>2654</v>
      </c>
      <c r="AP43" t="s">
        <v>2655</v>
      </c>
      <c r="AQ43">
        <v>0.41899999999999998</v>
      </c>
      <c r="AR43" t="s">
        <v>69</v>
      </c>
      <c r="AS43">
        <v>14</v>
      </c>
      <c r="AT43">
        <v>6</v>
      </c>
      <c r="AU43">
        <v>2.3089999999999999E-2</v>
      </c>
      <c r="AV43">
        <v>-4.2300000000000003E-3</v>
      </c>
      <c r="AW43">
        <v>8.6279999999999996E-2</v>
      </c>
      <c r="AX43">
        <v>-1.652E-2</v>
      </c>
      <c r="AY43">
        <v>8.0800000000000004E-3</v>
      </c>
      <c r="AZ43">
        <v>-1.5200000000000001E-3</v>
      </c>
      <c r="BA43">
        <v>9.3640000000000001E-2</v>
      </c>
      <c r="BB43">
        <v>1</v>
      </c>
      <c r="BC43" t="s">
        <v>70</v>
      </c>
      <c r="BD43">
        <v>1.123</v>
      </c>
      <c r="BE43">
        <v>0.629</v>
      </c>
      <c r="BF43" t="s">
        <v>139</v>
      </c>
      <c r="BG43">
        <v>-9.5744680851063801E-2</v>
      </c>
      <c r="BI43">
        <v>9.3640000000000001E-2</v>
      </c>
      <c r="BJ43">
        <v>-9.5744680851063801E-2</v>
      </c>
    </row>
    <row r="44" spans="1:62">
      <c r="A44">
        <v>3204</v>
      </c>
      <c r="B44" t="s">
        <v>3192</v>
      </c>
      <c r="D44" t="s">
        <v>60</v>
      </c>
      <c r="E44">
        <v>3235806</v>
      </c>
      <c r="F44">
        <v>3236216</v>
      </c>
      <c r="G44" t="s">
        <v>74</v>
      </c>
      <c r="H44">
        <v>137</v>
      </c>
      <c r="I44" t="s">
        <v>106</v>
      </c>
      <c r="J44">
        <v>4</v>
      </c>
      <c r="K44" t="str">
        <f>HYPERLINK("Gene3204-zp_tree_all.dnd", "Gene3204-tree")</f>
        <v>Gene3204-tree</v>
      </c>
      <c r="L44">
        <v>2</v>
      </c>
      <c r="M44">
        <v>2</v>
      </c>
      <c r="N44">
        <v>2</v>
      </c>
      <c r="O44">
        <v>2</v>
      </c>
      <c r="P44">
        <v>0.5</v>
      </c>
      <c r="Q44" t="s">
        <v>124</v>
      </c>
      <c r="R44" t="s">
        <v>124</v>
      </c>
      <c r="S44" t="s">
        <v>66</v>
      </c>
      <c r="T44" t="s">
        <v>66</v>
      </c>
      <c r="U44">
        <v>1</v>
      </c>
      <c r="V44">
        <v>2</v>
      </c>
      <c r="W44">
        <v>4</v>
      </c>
      <c r="X44">
        <v>0.33333000000000002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2</v>
      </c>
      <c r="AG44">
        <v>4</v>
      </c>
      <c r="AH44">
        <v>0.33333000000000002</v>
      </c>
      <c r="AI44">
        <v>3</v>
      </c>
      <c r="AJ44">
        <v>1</v>
      </c>
      <c r="AK44">
        <v>15</v>
      </c>
      <c r="AL44">
        <v>5</v>
      </c>
      <c r="AM44">
        <v>4</v>
      </c>
      <c r="AN44">
        <v>1</v>
      </c>
      <c r="AO44" t="s">
        <v>3194</v>
      </c>
      <c r="AP44" t="s">
        <v>3195</v>
      </c>
      <c r="AQ44">
        <v>0.28599999999999998</v>
      </c>
      <c r="AR44" t="s">
        <v>69</v>
      </c>
      <c r="AS44">
        <v>19</v>
      </c>
      <c r="AT44">
        <v>6</v>
      </c>
      <c r="AU44">
        <v>3.0450000000000001E-2</v>
      </c>
      <c r="AV44">
        <v>-6.8799999999999998E-3</v>
      </c>
      <c r="AW44">
        <v>0.10971</v>
      </c>
      <c r="AX44">
        <v>-2.7380000000000002E-2</v>
      </c>
      <c r="AY44">
        <v>1.021E-2</v>
      </c>
      <c r="AZ44">
        <v>-2.0699999999999998E-3</v>
      </c>
      <c r="BA44">
        <v>9.3049999999999994E-2</v>
      </c>
      <c r="BB44">
        <v>1</v>
      </c>
      <c r="BC44" t="s">
        <v>70</v>
      </c>
      <c r="BD44">
        <v>0.28499999999999998</v>
      </c>
      <c r="BE44">
        <v>-0.57099999999999995</v>
      </c>
      <c r="BF44" t="s">
        <v>139</v>
      </c>
      <c r="BG44">
        <v>1.0752688172042999E-2</v>
      </c>
      <c r="BI44">
        <v>9.3049999999999994E-2</v>
      </c>
      <c r="BJ44">
        <v>1.0752688172042999E-2</v>
      </c>
    </row>
    <row r="45" spans="1:62">
      <c r="A45">
        <v>3355</v>
      </c>
      <c r="B45" t="s">
        <v>3376</v>
      </c>
      <c r="D45" t="s">
        <v>60</v>
      </c>
      <c r="E45">
        <v>3383565</v>
      </c>
      <c r="F45">
        <v>3384023</v>
      </c>
      <c r="G45" t="s">
        <v>3378</v>
      </c>
      <c r="H45">
        <v>153</v>
      </c>
      <c r="I45" t="s">
        <v>63</v>
      </c>
      <c r="J45">
        <v>5</v>
      </c>
      <c r="K45" t="str">
        <f>HYPERLINK("Gene3355-zp_tree_all.dnd", "Gene3355-tree")</f>
        <v>Gene3355-tree</v>
      </c>
      <c r="L45">
        <v>3</v>
      </c>
      <c r="M45">
        <v>2</v>
      </c>
      <c r="N45">
        <v>3</v>
      </c>
      <c r="O45">
        <v>2</v>
      </c>
      <c r="P45">
        <v>0.4</v>
      </c>
      <c r="Q45" t="s">
        <v>86</v>
      </c>
      <c r="R45" t="s">
        <v>124</v>
      </c>
      <c r="S45" t="s">
        <v>66</v>
      </c>
      <c r="T45" t="s">
        <v>66</v>
      </c>
      <c r="U45">
        <v>0</v>
      </c>
      <c r="V45">
        <v>0</v>
      </c>
      <c r="W45">
        <v>7</v>
      </c>
      <c r="X45">
        <v>0</v>
      </c>
      <c r="Y45">
        <v>0</v>
      </c>
      <c r="Z45">
        <v>0</v>
      </c>
      <c r="AA45">
        <v>0</v>
      </c>
      <c r="AB45">
        <v>4</v>
      </c>
      <c r="AC45">
        <v>0</v>
      </c>
      <c r="AD45">
        <v>0</v>
      </c>
      <c r="AE45">
        <v>0</v>
      </c>
      <c r="AF45">
        <v>0</v>
      </c>
      <c r="AG45">
        <v>3</v>
      </c>
      <c r="AH45">
        <v>0</v>
      </c>
      <c r="AI45">
        <v>5</v>
      </c>
      <c r="AJ45">
        <v>2</v>
      </c>
      <c r="AK45">
        <v>8</v>
      </c>
      <c r="AL45">
        <v>3</v>
      </c>
      <c r="AM45">
        <v>12</v>
      </c>
      <c r="AN45">
        <v>4</v>
      </c>
      <c r="AO45" t="s">
        <v>3379</v>
      </c>
      <c r="AP45" t="s">
        <v>3380</v>
      </c>
      <c r="AQ45">
        <v>0.125</v>
      </c>
      <c r="AR45" t="s">
        <v>69</v>
      </c>
      <c r="AS45">
        <v>20</v>
      </c>
      <c r="AT45">
        <v>7</v>
      </c>
      <c r="AU45">
        <v>2.9819999999999999E-2</v>
      </c>
      <c r="AV45">
        <v>-5.3699999999999998E-3</v>
      </c>
      <c r="AW45">
        <v>0.11067</v>
      </c>
      <c r="AX45">
        <v>-2.2329999999999999E-2</v>
      </c>
      <c r="AY45">
        <v>1.0200000000000001E-2</v>
      </c>
      <c r="AZ45">
        <v>-1.81E-3</v>
      </c>
      <c r="BA45">
        <v>9.2189999999999994E-2</v>
      </c>
      <c r="BB45">
        <v>1</v>
      </c>
      <c r="BC45" t="s">
        <v>70</v>
      </c>
      <c r="BD45">
        <v>0.99199999999999999</v>
      </c>
      <c r="BE45">
        <v>0.74399999999999999</v>
      </c>
      <c r="BF45" t="s">
        <v>139</v>
      </c>
      <c r="BG45">
        <v>-3.125E-2</v>
      </c>
      <c r="BI45">
        <v>9.2189999999999994E-2</v>
      </c>
      <c r="BJ45">
        <v>-3.125E-2</v>
      </c>
    </row>
    <row r="46" spans="1:62">
      <c r="A46">
        <v>3643</v>
      </c>
      <c r="B46" t="s">
        <v>3596</v>
      </c>
      <c r="D46" t="s">
        <v>60</v>
      </c>
      <c r="E46">
        <v>3695363</v>
      </c>
      <c r="F46">
        <v>3696220</v>
      </c>
      <c r="G46" t="s">
        <v>74</v>
      </c>
      <c r="H46">
        <v>286</v>
      </c>
      <c r="I46" t="s">
        <v>85</v>
      </c>
      <c r="J46">
        <v>4</v>
      </c>
      <c r="K46" t="str">
        <f>HYPERLINK("Gene3643-zp_tree_all.dnd", "Gene3643-tree")</f>
        <v>Gene3643-tree</v>
      </c>
      <c r="L46">
        <v>0</v>
      </c>
      <c r="M46">
        <v>4</v>
      </c>
      <c r="N46">
        <v>0</v>
      </c>
      <c r="O46">
        <v>4</v>
      </c>
      <c r="P46">
        <v>1</v>
      </c>
      <c r="Q46" t="s">
        <v>66</v>
      </c>
      <c r="R46" t="s">
        <v>64</v>
      </c>
      <c r="S46" t="s">
        <v>66</v>
      </c>
      <c r="T46" t="s">
        <v>66</v>
      </c>
      <c r="U46">
        <v>3</v>
      </c>
      <c r="V46">
        <v>6</v>
      </c>
      <c r="W46">
        <v>9</v>
      </c>
      <c r="X46">
        <v>0.4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4</v>
      </c>
      <c r="AF46">
        <v>6</v>
      </c>
      <c r="AG46">
        <v>9</v>
      </c>
      <c r="AH46">
        <v>0.4</v>
      </c>
      <c r="AI46">
        <v>4</v>
      </c>
      <c r="AJ46">
        <v>1</v>
      </c>
      <c r="AK46">
        <v>43</v>
      </c>
      <c r="AL46">
        <v>16</v>
      </c>
      <c r="AM46">
        <v>3</v>
      </c>
      <c r="AN46">
        <v>0</v>
      </c>
      <c r="AO46" t="s">
        <v>3598</v>
      </c>
      <c r="AP46" t="s">
        <v>68</v>
      </c>
      <c r="AQ46">
        <v>1.1259999999999999</v>
      </c>
      <c r="AR46" t="s">
        <v>69</v>
      </c>
      <c r="AS46">
        <v>46</v>
      </c>
      <c r="AT46">
        <v>16</v>
      </c>
      <c r="AU46">
        <v>3.4500000000000003E-2</v>
      </c>
      <c r="AV46">
        <v>-7.5300000000000002E-3</v>
      </c>
      <c r="AW46">
        <v>0.12773999999999999</v>
      </c>
      <c r="AX46">
        <v>-2.903E-2</v>
      </c>
      <c r="AY46">
        <v>1.166E-2</v>
      </c>
      <c r="AZ46">
        <v>-2.8300000000000001E-3</v>
      </c>
      <c r="BA46">
        <v>9.128E-2</v>
      </c>
      <c r="BB46">
        <v>1</v>
      </c>
      <c r="BC46" t="s">
        <v>70</v>
      </c>
      <c r="BD46">
        <v>-0.17399999999999999</v>
      </c>
      <c r="BE46">
        <v>-1.042</v>
      </c>
      <c r="BF46" t="s">
        <v>139</v>
      </c>
      <c r="BG46">
        <v>-4.1666666666666602E-2</v>
      </c>
      <c r="BI46">
        <v>9.128E-2</v>
      </c>
      <c r="BJ46">
        <v>-4.1666666666666602E-2</v>
      </c>
    </row>
    <row r="47" spans="1:62">
      <c r="A47">
        <v>763</v>
      </c>
      <c r="B47" t="s">
        <v>943</v>
      </c>
      <c r="D47" t="s">
        <v>66</v>
      </c>
      <c r="E47">
        <v>825790</v>
      </c>
      <c r="F47">
        <v>826734</v>
      </c>
      <c r="G47" t="s">
        <v>945</v>
      </c>
      <c r="H47">
        <v>315</v>
      </c>
      <c r="I47" t="s">
        <v>85</v>
      </c>
      <c r="J47">
        <v>4</v>
      </c>
      <c r="K47" t="str">
        <f>HYPERLINK("Gene763-zp_tree_all.dnd", "Gene763-tree")</f>
        <v>Gene763-tree</v>
      </c>
      <c r="L47">
        <v>0</v>
      </c>
      <c r="M47">
        <v>4</v>
      </c>
      <c r="N47">
        <v>0</v>
      </c>
      <c r="O47">
        <v>4</v>
      </c>
      <c r="P47">
        <v>1</v>
      </c>
      <c r="Q47" t="s">
        <v>66</v>
      </c>
      <c r="R47" t="s">
        <v>64</v>
      </c>
      <c r="S47" t="s">
        <v>66</v>
      </c>
      <c r="T47" t="s">
        <v>66</v>
      </c>
      <c r="U47">
        <v>1</v>
      </c>
      <c r="V47">
        <v>2</v>
      </c>
      <c r="W47">
        <v>11</v>
      </c>
      <c r="X47">
        <v>0.15384999999999999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</v>
      </c>
      <c r="AE47">
        <v>0</v>
      </c>
      <c r="AF47">
        <v>2</v>
      </c>
      <c r="AG47">
        <v>11</v>
      </c>
      <c r="AH47">
        <v>0.15384999999999999</v>
      </c>
      <c r="AI47">
        <v>4</v>
      </c>
      <c r="AJ47">
        <v>1</v>
      </c>
      <c r="AK47">
        <v>35</v>
      </c>
      <c r="AL47">
        <v>11</v>
      </c>
      <c r="AM47">
        <v>2</v>
      </c>
      <c r="AN47">
        <v>2</v>
      </c>
      <c r="AO47" t="s">
        <v>946</v>
      </c>
      <c r="AP47" t="s">
        <v>947</v>
      </c>
      <c r="AQ47">
        <v>2.1629999999999998</v>
      </c>
      <c r="AR47" t="s">
        <v>69</v>
      </c>
      <c r="AS47">
        <v>37</v>
      </c>
      <c r="AT47">
        <v>13</v>
      </c>
      <c r="AU47">
        <v>2.6280000000000001E-2</v>
      </c>
      <c r="AV47">
        <v>-6.3600000000000002E-3</v>
      </c>
      <c r="AW47">
        <v>9.7439999999999999E-2</v>
      </c>
      <c r="AX47">
        <v>-2.5829999999999999E-2</v>
      </c>
      <c r="AY47">
        <v>8.8599999999999998E-3</v>
      </c>
      <c r="AZ47">
        <v>-1.8500000000000001E-3</v>
      </c>
      <c r="BA47">
        <v>9.0929999999999997E-2</v>
      </c>
      <c r="BB47">
        <v>1</v>
      </c>
      <c r="BC47" t="s">
        <v>70</v>
      </c>
      <c r="BD47">
        <v>-0.32600000000000001</v>
      </c>
      <c r="BE47">
        <v>-0.52900000000000003</v>
      </c>
      <c r="BF47" t="s">
        <v>139</v>
      </c>
      <c r="BG47">
        <v>0</v>
      </c>
      <c r="BI47">
        <v>9.0929999999999997E-2</v>
      </c>
      <c r="BJ47">
        <v>0</v>
      </c>
    </row>
    <row r="48" spans="1:62">
      <c r="A48">
        <v>3720</v>
      </c>
      <c r="B48" t="s">
        <v>3658</v>
      </c>
      <c r="D48" t="s">
        <v>60</v>
      </c>
      <c r="E48">
        <v>3765051</v>
      </c>
      <c r="F48">
        <v>3765431</v>
      </c>
      <c r="G48" t="s">
        <v>74</v>
      </c>
      <c r="H48">
        <v>127</v>
      </c>
      <c r="I48" t="s">
        <v>106</v>
      </c>
      <c r="J48">
        <v>4</v>
      </c>
      <c r="K48" t="str">
        <f>HYPERLINK("Gene3720-zp_tree_all.dnd", "Gene3720-tree")</f>
        <v>Gene3720-tree</v>
      </c>
      <c r="L48">
        <v>2</v>
      </c>
      <c r="M48">
        <v>2</v>
      </c>
      <c r="N48">
        <v>2</v>
      </c>
      <c r="O48">
        <v>2</v>
      </c>
      <c r="P48">
        <v>0.5</v>
      </c>
      <c r="Q48" t="s">
        <v>124</v>
      </c>
      <c r="R48" t="s">
        <v>124</v>
      </c>
      <c r="S48" t="s">
        <v>66</v>
      </c>
      <c r="T48" t="s">
        <v>66</v>
      </c>
      <c r="U48">
        <v>0</v>
      </c>
      <c r="V48">
        <v>0</v>
      </c>
      <c r="W48">
        <v>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</v>
      </c>
      <c r="AH48">
        <v>0</v>
      </c>
      <c r="AI48">
        <v>2</v>
      </c>
      <c r="AJ48">
        <v>1</v>
      </c>
      <c r="AK48">
        <v>13</v>
      </c>
      <c r="AL48">
        <v>5</v>
      </c>
      <c r="AM48">
        <v>1</v>
      </c>
      <c r="AN48">
        <v>0</v>
      </c>
      <c r="AO48" t="s">
        <v>3660</v>
      </c>
      <c r="AP48" t="s">
        <v>68</v>
      </c>
      <c r="AQ48">
        <v>1.038</v>
      </c>
      <c r="AR48" t="s">
        <v>69</v>
      </c>
      <c r="AS48">
        <v>14</v>
      </c>
      <c r="AT48">
        <v>5</v>
      </c>
      <c r="AU48">
        <v>2.6409999999999999E-2</v>
      </c>
      <c r="AV48">
        <v>-9.3200000000000002E-3</v>
      </c>
      <c r="AW48">
        <v>9.8699999999999996E-2</v>
      </c>
      <c r="AX48">
        <v>-3.7039999999999997E-2</v>
      </c>
      <c r="AY48">
        <v>8.8800000000000007E-3</v>
      </c>
      <c r="AZ48">
        <v>-2.7499999999999998E-3</v>
      </c>
      <c r="BA48">
        <v>8.9940000000000006E-2</v>
      </c>
      <c r="BB48">
        <v>1</v>
      </c>
      <c r="BC48" t="s">
        <v>70</v>
      </c>
      <c r="BD48">
        <v>-0.68899999999999995</v>
      </c>
      <c r="BE48">
        <v>-0.68899999999999995</v>
      </c>
      <c r="BF48" t="s">
        <v>139</v>
      </c>
      <c r="BG48">
        <v>-4.9382716049382699E-2</v>
      </c>
      <c r="BI48">
        <v>8.9940000000000006E-2</v>
      </c>
      <c r="BJ48">
        <v>-4.9382716049382699E-2</v>
      </c>
    </row>
    <row r="49" spans="1:62">
      <c r="A49">
        <v>1220</v>
      </c>
      <c r="B49" t="s">
        <v>1261</v>
      </c>
      <c r="D49" t="s">
        <v>66</v>
      </c>
      <c r="E49">
        <v>1278208</v>
      </c>
      <c r="F49">
        <v>1278399</v>
      </c>
      <c r="G49" t="s">
        <v>74</v>
      </c>
      <c r="H49">
        <v>64</v>
      </c>
      <c r="I49" t="s">
        <v>85</v>
      </c>
      <c r="J49">
        <v>4</v>
      </c>
      <c r="K49" t="str">
        <f>HYPERLINK("Gene1220-zp_tree_all.dnd", "Gene1220-tree")</f>
        <v>Gene1220-tree</v>
      </c>
      <c r="L49">
        <v>3</v>
      </c>
      <c r="M49">
        <v>1</v>
      </c>
      <c r="N49">
        <v>3</v>
      </c>
      <c r="O49">
        <v>1</v>
      </c>
      <c r="P49">
        <v>0.25</v>
      </c>
      <c r="Q49" t="s">
        <v>86</v>
      </c>
      <c r="R49" t="s">
        <v>65</v>
      </c>
      <c r="S49" t="s">
        <v>66</v>
      </c>
      <c r="T49" t="s">
        <v>66</v>
      </c>
      <c r="U49">
        <v>0</v>
      </c>
      <c r="V49">
        <v>0</v>
      </c>
      <c r="W49">
        <v>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</v>
      </c>
      <c r="AH49">
        <v>0</v>
      </c>
      <c r="AI49">
        <v>3</v>
      </c>
      <c r="AJ49">
        <v>0</v>
      </c>
      <c r="AK49">
        <v>8</v>
      </c>
      <c r="AL49">
        <v>3</v>
      </c>
      <c r="AM49">
        <v>0</v>
      </c>
      <c r="AN49">
        <v>0</v>
      </c>
      <c r="AO49" t="s">
        <v>1263</v>
      </c>
      <c r="AP49" t="s">
        <v>68</v>
      </c>
      <c r="AQ49">
        <v>0.60799999999999998</v>
      </c>
      <c r="AR49" t="s">
        <v>69</v>
      </c>
      <c r="AS49">
        <v>8</v>
      </c>
      <c r="AT49">
        <v>3</v>
      </c>
      <c r="AU49">
        <v>2.8649999999999998E-2</v>
      </c>
      <c r="AV49">
        <v>-8.9200000000000008E-3</v>
      </c>
      <c r="AW49">
        <v>0.11247</v>
      </c>
      <c r="AX49">
        <v>-3.2340000000000001E-2</v>
      </c>
      <c r="AY49">
        <v>9.9799999999999993E-3</v>
      </c>
      <c r="AZ49">
        <v>-4.0699999999999998E-3</v>
      </c>
      <c r="BA49">
        <v>8.8719999999999993E-2</v>
      </c>
      <c r="BB49">
        <v>0.99</v>
      </c>
      <c r="BC49" t="s">
        <v>70</v>
      </c>
      <c r="BD49">
        <v>-0.83699999999999997</v>
      </c>
      <c r="BE49">
        <v>-0.83699999999999997</v>
      </c>
      <c r="BF49" t="s">
        <v>139</v>
      </c>
      <c r="BG49">
        <v>-0.30769230769230699</v>
      </c>
      <c r="BI49">
        <v>8.8719999999999993E-2</v>
      </c>
      <c r="BJ49">
        <v>-0.30769230769230699</v>
      </c>
    </row>
    <row r="50" spans="1:62">
      <c r="A50">
        <v>1062</v>
      </c>
      <c r="B50" t="s">
        <v>1151</v>
      </c>
      <c r="D50" t="s">
        <v>66</v>
      </c>
      <c r="E50">
        <v>1126403</v>
      </c>
      <c r="F50">
        <v>1127452</v>
      </c>
      <c r="G50" t="s">
        <v>1153</v>
      </c>
      <c r="H50">
        <v>350</v>
      </c>
      <c r="I50" t="s">
        <v>63</v>
      </c>
      <c r="J50">
        <v>5</v>
      </c>
      <c r="K50" t="str">
        <f>HYPERLINK("Gene1062-zp_tree_all.dnd", "Gene1062-tree")</f>
        <v>Gene1062-tree</v>
      </c>
      <c r="L50">
        <v>2</v>
      </c>
      <c r="M50">
        <v>3</v>
      </c>
      <c r="N50">
        <v>2</v>
      </c>
      <c r="O50">
        <v>3</v>
      </c>
      <c r="P50">
        <v>0.6</v>
      </c>
      <c r="Q50" t="s">
        <v>124</v>
      </c>
      <c r="R50" t="s">
        <v>86</v>
      </c>
      <c r="S50" t="s">
        <v>66</v>
      </c>
      <c r="T50" t="s">
        <v>66</v>
      </c>
      <c r="U50">
        <v>1</v>
      </c>
      <c r="V50">
        <v>2</v>
      </c>
      <c r="W50">
        <v>18</v>
      </c>
      <c r="X50">
        <v>0.1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2</v>
      </c>
      <c r="AG50">
        <v>18</v>
      </c>
      <c r="AH50">
        <v>0.1</v>
      </c>
      <c r="AI50">
        <v>5</v>
      </c>
      <c r="AJ50">
        <v>2</v>
      </c>
      <c r="AK50">
        <v>44</v>
      </c>
      <c r="AL50">
        <v>11</v>
      </c>
      <c r="AM50">
        <v>19</v>
      </c>
      <c r="AN50">
        <v>9</v>
      </c>
      <c r="AO50" t="s">
        <v>1154</v>
      </c>
      <c r="AP50" t="s">
        <v>1155</v>
      </c>
      <c r="AQ50">
        <v>0.52500000000000002</v>
      </c>
      <c r="AR50" t="s">
        <v>69</v>
      </c>
      <c r="AS50">
        <v>63</v>
      </c>
      <c r="AT50">
        <v>20</v>
      </c>
      <c r="AU50">
        <v>3.4950000000000002E-2</v>
      </c>
      <c r="AV50">
        <v>-4.5799999999999999E-3</v>
      </c>
      <c r="AW50">
        <v>0.13538</v>
      </c>
      <c r="AX50">
        <v>-1.678E-2</v>
      </c>
      <c r="AY50">
        <v>1.193E-2</v>
      </c>
      <c r="AZ50">
        <v>-2.15E-3</v>
      </c>
      <c r="BA50">
        <v>8.8139999999999996E-2</v>
      </c>
      <c r="BB50">
        <v>1</v>
      </c>
      <c r="BC50" t="s">
        <v>70</v>
      </c>
      <c r="BD50">
        <v>0.14699999999999999</v>
      </c>
      <c r="BE50">
        <v>-0.126</v>
      </c>
      <c r="BF50" t="s">
        <v>139</v>
      </c>
      <c r="BG50">
        <v>-0.17857142857142799</v>
      </c>
      <c r="BI50">
        <v>8.8139999999999996E-2</v>
      </c>
      <c r="BJ50">
        <v>-0.17857142857142799</v>
      </c>
    </row>
    <row r="51" spans="1:62">
      <c r="A51">
        <v>3401</v>
      </c>
      <c r="B51" t="s">
        <v>3410</v>
      </c>
      <c r="D51" t="s">
        <v>60</v>
      </c>
      <c r="E51">
        <v>3427802</v>
      </c>
      <c r="F51">
        <v>3428284</v>
      </c>
      <c r="G51" t="s">
        <v>3412</v>
      </c>
      <c r="H51">
        <v>161</v>
      </c>
      <c r="I51" t="s">
        <v>85</v>
      </c>
      <c r="J51">
        <v>4</v>
      </c>
      <c r="K51" t="str">
        <f>HYPERLINK("Gene3401-zp_tree_all.dnd", "Gene3401-tree")</f>
        <v>Gene3401-tree</v>
      </c>
      <c r="L51">
        <v>2</v>
      </c>
      <c r="M51">
        <v>2</v>
      </c>
      <c r="N51">
        <v>2</v>
      </c>
      <c r="O51">
        <v>2</v>
      </c>
      <c r="P51">
        <v>0.5</v>
      </c>
      <c r="Q51" t="s">
        <v>124</v>
      </c>
      <c r="R51" t="s">
        <v>124</v>
      </c>
      <c r="S51" t="s">
        <v>66</v>
      </c>
      <c r="T51" t="s">
        <v>66</v>
      </c>
      <c r="U51">
        <v>1</v>
      </c>
      <c r="V51">
        <v>2</v>
      </c>
      <c r="W51">
        <v>5</v>
      </c>
      <c r="X51">
        <v>0.28571000000000002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</v>
      </c>
      <c r="AF51">
        <v>2</v>
      </c>
      <c r="AG51">
        <v>5</v>
      </c>
      <c r="AH51">
        <v>0.28571000000000002</v>
      </c>
      <c r="AI51">
        <v>3</v>
      </c>
      <c r="AJ51">
        <v>1</v>
      </c>
      <c r="AK51">
        <v>18</v>
      </c>
      <c r="AL51">
        <v>6</v>
      </c>
      <c r="AM51">
        <v>2</v>
      </c>
      <c r="AN51">
        <v>1</v>
      </c>
      <c r="AO51" t="s">
        <v>3413</v>
      </c>
      <c r="AP51" t="s">
        <v>3414</v>
      </c>
      <c r="AQ51">
        <v>0.622</v>
      </c>
      <c r="AR51" t="s">
        <v>69</v>
      </c>
      <c r="AS51">
        <v>20</v>
      </c>
      <c r="AT51">
        <v>7</v>
      </c>
      <c r="AU51">
        <v>2.9170000000000001E-2</v>
      </c>
      <c r="AV51">
        <v>-7.1500000000000001E-3</v>
      </c>
      <c r="AW51">
        <v>0.10528</v>
      </c>
      <c r="AX51">
        <v>-2.8549999999999999E-2</v>
      </c>
      <c r="AY51">
        <v>9.1299999999999992E-3</v>
      </c>
      <c r="AZ51">
        <v>-2.0100000000000001E-3</v>
      </c>
      <c r="BA51">
        <v>8.6669999999999997E-2</v>
      </c>
      <c r="BB51">
        <v>1</v>
      </c>
      <c r="BC51" t="s">
        <v>70</v>
      </c>
      <c r="BD51">
        <v>-0.51</v>
      </c>
      <c r="BE51">
        <v>-0.51</v>
      </c>
      <c r="BF51" t="s">
        <v>139</v>
      </c>
      <c r="BG51">
        <v>0</v>
      </c>
      <c r="BI51">
        <v>8.6669999999999997E-2</v>
      </c>
      <c r="BJ51">
        <v>0</v>
      </c>
    </row>
    <row r="52" spans="1:62">
      <c r="A52">
        <v>3215</v>
      </c>
      <c r="B52" t="s">
        <v>3200</v>
      </c>
      <c r="D52" t="s">
        <v>60</v>
      </c>
      <c r="E52">
        <v>3248996</v>
      </c>
      <c r="F52">
        <v>3249424</v>
      </c>
      <c r="G52" t="s">
        <v>3202</v>
      </c>
      <c r="H52">
        <v>143</v>
      </c>
      <c r="I52" t="s">
        <v>63</v>
      </c>
      <c r="J52">
        <v>5</v>
      </c>
      <c r="K52" t="str">
        <f>HYPERLINK("Gene3215-zp_tree_all.dnd", "Gene3215-tree")</f>
        <v>Gene3215-tree</v>
      </c>
      <c r="L52">
        <v>4</v>
      </c>
      <c r="M52">
        <v>1</v>
      </c>
      <c r="N52">
        <v>4</v>
      </c>
      <c r="O52">
        <v>1</v>
      </c>
      <c r="P52">
        <v>0.2</v>
      </c>
      <c r="Q52" t="s">
        <v>64</v>
      </c>
      <c r="R52" t="s">
        <v>65</v>
      </c>
      <c r="S52" t="s">
        <v>66</v>
      </c>
      <c r="T52" t="s">
        <v>66</v>
      </c>
      <c r="U52">
        <v>0</v>
      </c>
      <c r="V52">
        <v>0</v>
      </c>
      <c r="W52">
        <v>4</v>
      </c>
      <c r="X52">
        <v>0</v>
      </c>
      <c r="Y52">
        <v>0</v>
      </c>
      <c r="Z52">
        <v>0</v>
      </c>
      <c r="AA52">
        <v>0</v>
      </c>
      <c r="AB52">
        <v>3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5</v>
      </c>
      <c r="AJ52">
        <v>1</v>
      </c>
      <c r="AK52">
        <v>11</v>
      </c>
      <c r="AL52">
        <v>1</v>
      </c>
      <c r="AM52">
        <v>8</v>
      </c>
      <c r="AN52">
        <v>3</v>
      </c>
      <c r="AO52" t="s">
        <v>3203</v>
      </c>
      <c r="AP52" t="s">
        <v>3204</v>
      </c>
      <c r="AQ52">
        <v>1.57</v>
      </c>
      <c r="AR52" t="s">
        <v>69</v>
      </c>
      <c r="AS52">
        <v>19</v>
      </c>
      <c r="AT52">
        <v>4</v>
      </c>
      <c r="AU52">
        <v>2.5170000000000001E-2</v>
      </c>
      <c r="AV52">
        <v>-4.28E-3</v>
      </c>
      <c r="AW52">
        <v>8.1460000000000005E-2</v>
      </c>
      <c r="AX52">
        <v>-1.2840000000000001E-2</v>
      </c>
      <c r="AY52">
        <v>7.0099999999999997E-3</v>
      </c>
      <c r="AZ52">
        <v>-1.6800000000000001E-3</v>
      </c>
      <c r="BA52">
        <v>8.6059999999999998E-2</v>
      </c>
      <c r="BB52">
        <v>1</v>
      </c>
      <c r="BC52" t="s">
        <v>70</v>
      </c>
      <c r="BD52">
        <v>0.52900000000000003</v>
      </c>
      <c r="BE52">
        <v>-0.20599999999999999</v>
      </c>
      <c r="BF52" t="s">
        <v>139</v>
      </c>
      <c r="BG52">
        <v>4.6632124352331598E-2</v>
      </c>
      <c r="BI52">
        <v>8.6059999999999998E-2</v>
      </c>
      <c r="BJ52">
        <v>4.6632124352331598E-2</v>
      </c>
    </row>
    <row r="53" spans="1:62">
      <c r="A53">
        <v>3024</v>
      </c>
      <c r="B53" t="s">
        <v>3026</v>
      </c>
      <c r="D53" t="s">
        <v>60</v>
      </c>
      <c r="E53">
        <v>3040751</v>
      </c>
      <c r="F53">
        <v>3041392</v>
      </c>
      <c r="G53" t="s">
        <v>3028</v>
      </c>
      <c r="H53">
        <v>214</v>
      </c>
      <c r="I53" t="s">
        <v>63</v>
      </c>
      <c r="J53">
        <v>5</v>
      </c>
      <c r="K53" t="str">
        <f>HYPERLINK("Gene3024-zp_tree_all.dnd", "Gene3024-tree")</f>
        <v>Gene3024-tree</v>
      </c>
      <c r="L53">
        <v>2</v>
      </c>
      <c r="M53">
        <v>3</v>
      </c>
      <c r="N53">
        <v>2</v>
      </c>
      <c r="O53">
        <v>3</v>
      </c>
      <c r="P53">
        <v>0.6</v>
      </c>
      <c r="Q53" t="s">
        <v>124</v>
      </c>
      <c r="R53" t="s">
        <v>86</v>
      </c>
      <c r="S53" t="s">
        <v>66</v>
      </c>
      <c r="T53" t="s">
        <v>66</v>
      </c>
      <c r="U53">
        <v>0</v>
      </c>
      <c r="V53">
        <v>0</v>
      </c>
      <c r="W53">
        <v>10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10</v>
      </c>
      <c r="AH53">
        <v>0</v>
      </c>
      <c r="AI53">
        <v>5</v>
      </c>
      <c r="AJ53">
        <v>2</v>
      </c>
      <c r="AK53">
        <v>13</v>
      </c>
      <c r="AL53">
        <v>4</v>
      </c>
      <c r="AM53">
        <v>18</v>
      </c>
      <c r="AN53">
        <v>6</v>
      </c>
      <c r="AO53" t="s">
        <v>3029</v>
      </c>
      <c r="AP53" t="s">
        <v>3030</v>
      </c>
      <c r="AQ53">
        <v>1.4E-2</v>
      </c>
      <c r="AR53" t="s">
        <v>69</v>
      </c>
      <c r="AS53">
        <v>31</v>
      </c>
      <c r="AT53">
        <v>10</v>
      </c>
      <c r="AU53">
        <v>3.2399999999999998E-2</v>
      </c>
      <c r="AV53">
        <v>-6.0200000000000002E-3</v>
      </c>
      <c r="AW53">
        <v>0.12486</v>
      </c>
      <c r="AX53">
        <v>-2.3519999999999999E-2</v>
      </c>
      <c r="AY53">
        <v>1.0449999999999999E-2</v>
      </c>
      <c r="AZ53">
        <v>-2.1299999999999999E-3</v>
      </c>
      <c r="BA53">
        <v>8.3690000000000001E-2</v>
      </c>
      <c r="BB53">
        <v>1</v>
      </c>
      <c r="BC53" t="s">
        <v>70</v>
      </c>
      <c r="BD53">
        <v>0.83499999999999996</v>
      </c>
      <c r="BE53">
        <v>0.67500000000000004</v>
      </c>
      <c r="BF53" t="s">
        <v>139</v>
      </c>
      <c r="BG53">
        <v>-3.5211267605633798E-2</v>
      </c>
      <c r="BI53">
        <v>8.3690000000000001E-2</v>
      </c>
      <c r="BJ53">
        <v>-3.5211267605633798E-2</v>
      </c>
    </row>
    <row r="54" spans="1:62">
      <c r="A54">
        <v>3915</v>
      </c>
      <c r="B54" t="s">
        <v>3888</v>
      </c>
      <c r="D54" t="s">
        <v>60</v>
      </c>
      <c r="E54">
        <v>3956492</v>
      </c>
      <c r="F54">
        <v>3957247</v>
      </c>
      <c r="G54" t="s">
        <v>2639</v>
      </c>
      <c r="H54">
        <v>252</v>
      </c>
      <c r="I54" t="s">
        <v>85</v>
      </c>
      <c r="J54">
        <v>4</v>
      </c>
      <c r="K54" t="str">
        <f>HYPERLINK("Gene3915-zp_tree_all.dnd", "Gene3915-tree")</f>
        <v>Gene3915-tree</v>
      </c>
      <c r="L54">
        <v>0</v>
      </c>
      <c r="M54">
        <v>4</v>
      </c>
      <c r="N54">
        <v>0</v>
      </c>
      <c r="O54">
        <v>4</v>
      </c>
      <c r="P54">
        <v>1</v>
      </c>
      <c r="Q54" t="s">
        <v>66</v>
      </c>
      <c r="R54" t="s">
        <v>64</v>
      </c>
      <c r="S54" t="s">
        <v>66</v>
      </c>
      <c r="T54" t="s">
        <v>66</v>
      </c>
      <c r="U54">
        <v>0</v>
      </c>
      <c r="V54">
        <v>0</v>
      </c>
      <c r="W54">
        <v>10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10</v>
      </c>
      <c r="AH54">
        <v>0</v>
      </c>
      <c r="AI54">
        <v>4</v>
      </c>
      <c r="AJ54">
        <v>1</v>
      </c>
      <c r="AK54">
        <v>32</v>
      </c>
      <c r="AL54">
        <v>11</v>
      </c>
      <c r="AM54">
        <v>3</v>
      </c>
      <c r="AN54">
        <v>0</v>
      </c>
      <c r="AO54" t="s">
        <v>3890</v>
      </c>
      <c r="AP54" t="s">
        <v>68</v>
      </c>
      <c r="AQ54">
        <v>0.95199999999999996</v>
      </c>
      <c r="AR54" t="s">
        <v>69</v>
      </c>
      <c r="AS54">
        <v>35</v>
      </c>
      <c r="AT54">
        <v>11</v>
      </c>
      <c r="AU54">
        <v>3.0859999999999999E-2</v>
      </c>
      <c r="AV54">
        <v>-7.28E-3</v>
      </c>
      <c r="AW54">
        <v>0.11421000000000001</v>
      </c>
      <c r="AX54">
        <v>-3.1029999999999999E-2</v>
      </c>
      <c r="AY54">
        <v>9.5200000000000007E-3</v>
      </c>
      <c r="AZ54">
        <v>-1.57E-3</v>
      </c>
      <c r="BA54">
        <v>8.3320000000000005E-2</v>
      </c>
      <c r="BB54">
        <v>1</v>
      </c>
      <c r="BC54" t="s">
        <v>70</v>
      </c>
      <c r="BD54">
        <v>-0.51300000000000001</v>
      </c>
      <c r="BE54">
        <v>-0.72499999999999998</v>
      </c>
      <c r="BF54" t="s">
        <v>139</v>
      </c>
      <c r="BG54">
        <v>-5.7534246575342403E-2</v>
      </c>
      <c r="BI54">
        <v>8.3320000000000005E-2</v>
      </c>
      <c r="BJ54">
        <v>-5.7534246575342403E-2</v>
      </c>
    </row>
    <row r="55" spans="1:62">
      <c r="A55">
        <v>3360</v>
      </c>
      <c r="B55" t="s">
        <v>3387</v>
      </c>
      <c r="D55" t="s">
        <v>60</v>
      </c>
      <c r="E55">
        <v>3388113</v>
      </c>
      <c r="F55">
        <v>3388985</v>
      </c>
      <c r="G55" t="s">
        <v>3389</v>
      </c>
      <c r="H55">
        <v>291</v>
      </c>
      <c r="I55" t="s">
        <v>63</v>
      </c>
      <c r="J55">
        <v>5</v>
      </c>
      <c r="K55" t="str">
        <f>HYPERLINK("Gene3360-zp_tree_all.dnd", "Gene3360-tree")</f>
        <v>Gene3360-tree</v>
      </c>
      <c r="L55">
        <v>2</v>
      </c>
      <c r="M55">
        <v>3</v>
      </c>
      <c r="N55">
        <v>2</v>
      </c>
      <c r="O55">
        <v>3</v>
      </c>
      <c r="P55">
        <v>0.6</v>
      </c>
      <c r="Q55" t="s">
        <v>124</v>
      </c>
      <c r="R55" t="s">
        <v>86</v>
      </c>
      <c r="S55" t="s">
        <v>66</v>
      </c>
      <c r="T55" t="s">
        <v>66</v>
      </c>
      <c r="U55">
        <v>0</v>
      </c>
      <c r="V55">
        <v>0</v>
      </c>
      <c r="W55">
        <v>10</v>
      </c>
      <c r="X55">
        <v>0</v>
      </c>
      <c r="Y55">
        <v>0</v>
      </c>
      <c r="Z55">
        <v>0</v>
      </c>
      <c r="AA55">
        <v>0</v>
      </c>
      <c r="AB55">
        <v>6</v>
      </c>
      <c r="AC55">
        <v>0</v>
      </c>
      <c r="AD55">
        <v>0</v>
      </c>
      <c r="AE55">
        <v>0</v>
      </c>
      <c r="AF55">
        <v>0</v>
      </c>
      <c r="AG55">
        <v>4</v>
      </c>
      <c r="AH55">
        <v>0</v>
      </c>
      <c r="AI55">
        <v>5</v>
      </c>
      <c r="AJ55">
        <v>2</v>
      </c>
      <c r="AK55">
        <v>9</v>
      </c>
      <c r="AL55">
        <v>4</v>
      </c>
      <c r="AM55">
        <v>24</v>
      </c>
      <c r="AN55">
        <v>7</v>
      </c>
      <c r="AO55" t="s">
        <v>3390</v>
      </c>
      <c r="AP55" t="s">
        <v>3391</v>
      </c>
      <c r="AQ55">
        <v>0.48699999999999999</v>
      </c>
      <c r="AR55" t="s">
        <v>69</v>
      </c>
      <c r="AS55">
        <v>33</v>
      </c>
      <c r="AT55">
        <v>11</v>
      </c>
      <c r="AU55">
        <v>2.726E-2</v>
      </c>
      <c r="AV55">
        <v>-5.2199999999999998E-3</v>
      </c>
      <c r="AW55">
        <v>0.10303</v>
      </c>
      <c r="AX55">
        <v>-2.1360000000000001E-2</v>
      </c>
      <c r="AY55">
        <v>8.5800000000000008E-3</v>
      </c>
      <c r="AZ55">
        <v>-1.4400000000000001E-3</v>
      </c>
      <c r="BA55">
        <v>8.3309999999999995E-2</v>
      </c>
      <c r="BB55">
        <v>1</v>
      </c>
      <c r="BC55" t="s">
        <v>70</v>
      </c>
      <c r="BD55">
        <v>0.95599999999999996</v>
      </c>
      <c r="BE55">
        <v>0.95599999999999996</v>
      </c>
      <c r="BF55" t="s">
        <v>139</v>
      </c>
      <c r="BG55">
        <v>3.1518624641833803E-2</v>
      </c>
      <c r="BI55">
        <v>8.3309999999999995E-2</v>
      </c>
      <c r="BJ55">
        <v>3.1518624641833803E-2</v>
      </c>
    </row>
    <row r="56" spans="1:62">
      <c r="A56">
        <v>2009</v>
      </c>
      <c r="B56" t="s">
        <v>2122</v>
      </c>
      <c r="D56" t="s">
        <v>60</v>
      </c>
      <c r="E56">
        <v>2137897</v>
      </c>
      <c r="F56">
        <v>2138037</v>
      </c>
      <c r="G56" t="s">
        <v>74</v>
      </c>
      <c r="H56">
        <v>47</v>
      </c>
      <c r="I56" t="s">
        <v>63</v>
      </c>
      <c r="J56">
        <v>5</v>
      </c>
      <c r="K56" t="str">
        <f>HYPERLINK("Gene2009-zp_tree_all.dnd", "Gene2009-tree")</f>
        <v>Gene2009-tree</v>
      </c>
      <c r="L56">
        <v>5</v>
      </c>
      <c r="M56">
        <v>0</v>
      </c>
      <c r="N56">
        <v>5</v>
      </c>
      <c r="O56">
        <v>0</v>
      </c>
      <c r="P56">
        <v>0</v>
      </c>
      <c r="Q56" t="s">
        <v>96</v>
      </c>
      <c r="R56" t="s">
        <v>66</v>
      </c>
      <c r="S56" t="s">
        <v>66</v>
      </c>
      <c r="T56" t="s">
        <v>66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</v>
      </c>
      <c r="AJ56">
        <v>1</v>
      </c>
      <c r="AK56">
        <v>3</v>
      </c>
      <c r="AL56">
        <v>0</v>
      </c>
      <c r="AM56">
        <v>1</v>
      </c>
      <c r="AN56">
        <v>1</v>
      </c>
      <c r="AO56" t="s">
        <v>68</v>
      </c>
      <c r="AP56" t="s">
        <v>2124</v>
      </c>
      <c r="AQ56">
        <v>0</v>
      </c>
      <c r="AR56" t="s">
        <v>69</v>
      </c>
      <c r="AS56">
        <v>4</v>
      </c>
      <c r="AT56">
        <v>1</v>
      </c>
      <c r="AU56">
        <v>1.7389999999999999E-2</v>
      </c>
      <c r="AV56">
        <v>-2.5500000000000002E-3</v>
      </c>
      <c r="AW56">
        <v>6.8650000000000003E-2</v>
      </c>
      <c r="AX56">
        <v>-9.4400000000000005E-3</v>
      </c>
      <c r="AY56">
        <v>5.47E-3</v>
      </c>
      <c r="AZ56">
        <v>-1.2999999999999999E-3</v>
      </c>
      <c r="BA56">
        <v>7.9699999999999993E-2</v>
      </c>
      <c r="BB56">
        <v>1</v>
      </c>
      <c r="BC56" t="s">
        <v>70</v>
      </c>
      <c r="BD56">
        <v>0</v>
      </c>
      <c r="BE56">
        <v>0</v>
      </c>
      <c r="BF56" t="s">
        <v>139</v>
      </c>
      <c r="BG56">
        <v>-0.28301886792452802</v>
      </c>
      <c r="BI56">
        <v>7.9699999999999993E-2</v>
      </c>
      <c r="BJ56">
        <v>-0.28301886792452802</v>
      </c>
    </row>
    <row r="57" spans="1:62">
      <c r="A57">
        <v>1881</v>
      </c>
      <c r="B57" t="s">
        <v>2066</v>
      </c>
      <c r="D57" t="s">
        <v>66</v>
      </c>
      <c r="E57">
        <v>2016848</v>
      </c>
      <c r="F57">
        <v>2017738</v>
      </c>
      <c r="G57" t="s">
        <v>2068</v>
      </c>
      <c r="H57">
        <v>297</v>
      </c>
      <c r="I57" t="s">
        <v>106</v>
      </c>
      <c r="J57">
        <v>4</v>
      </c>
      <c r="K57" t="str">
        <f>HYPERLINK("Gene1881-zp_tree_all.dnd", "Gene1881-tree")</f>
        <v>Gene1881-tree</v>
      </c>
      <c r="L57">
        <v>2</v>
      </c>
      <c r="M57">
        <v>2</v>
      </c>
      <c r="N57">
        <v>2</v>
      </c>
      <c r="O57">
        <v>2</v>
      </c>
      <c r="P57">
        <v>0.5</v>
      </c>
      <c r="Q57" t="s">
        <v>124</v>
      </c>
      <c r="R57" t="s">
        <v>124</v>
      </c>
      <c r="S57" t="s">
        <v>66</v>
      </c>
      <c r="T57" t="s">
        <v>66</v>
      </c>
      <c r="U57">
        <v>0</v>
      </c>
      <c r="V57">
        <v>0</v>
      </c>
      <c r="W57">
        <v>11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11</v>
      </c>
      <c r="AH57">
        <v>0</v>
      </c>
      <c r="AI57">
        <v>3</v>
      </c>
      <c r="AJ57">
        <v>1</v>
      </c>
      <c r="AK57">
        <v>38</v>
      </c>
      <c r="AL57">
        <v>11</v>
      </c>
      <c r="AM57">
        <v>1</v>
      </c>
      <c r="AN57">
        <v>0</v>
      </c>
      <c r="AO57" t="s">
        <v>2069</v>
      </c>
      <c r="AP57" t="s">
        <v>68</v>
      </c>
      <c r="AQ57">
        <v>0.72</v>
      </c>
      <c r="AR57" t="s">
        <v>69</v>
      </c>
      <c r="AS57">
        <v>39</v>
      </c>
      <c r="AT57">
        <v>11</v>
      </c>
      <c r="AU57">
        <v>2.7869999999999999E-2</v>
      </c>
      <c r="AV57">
        <v>-8.0800000000000004E-3</v>
      </c>
      <c r="AW57">
        <v>0.10371</v>
      </c>
      <c r="AX57">
        <v>-2.9159999999999998E-2</v>
      </c>
      <c r="AY57">
        <v>8.1099999999999992E-3</v>
      </c>
      <c r="AZ57">
        <v>-2.9299999999999999E-3</v>
      </c>
      <c r="BA57">
        <v>7.8159999999999993E-2</v>
      </c>
      <c r="BB57">
        <v>1</v>
      </c>
      <c r="BC57" t="s">
        <v>70</v>
      </c>
      <c r="BD57">
        <v>-0.73699999999999999</v>
      </c>
      <c r="BE57">
        <v>-0.73699999999999999</v>
      </c>
      <c r="BF57" t="s">
        <v>139</v>
      </c>
      <c r="BG57">
        <v>-0.04</v>
      </c>
      <c r="BI57">
        <v>7.8159999999999993E-2</v>
      </c>
      <c r="BJ57">
        <v>-0.04</v>
      </c>
    </row>
    <row r="58" spans="1:62">
      <c r="A58">
        <v>3444</v>
      </c>
      <c r="B58" t="s">
        <v>3455</v>
      </c>
      <c r="D58" t="s">
        <v>60</v>
      </c>
      <c r="E58">
        <v>3471266</v>
      </c>
      <c r="F58">
        <v>3471820</v>
      </c>
      <c r="G58" t="s">
        <v>3457</v>
      </c>
      <c r="H58">
        <v>185</v>
      </c>
      <c r="I58" t="s">
        <v>85</v>
      </c>
      <c r="J58">
        <v>4</v>
      </c>
      <c r="K58" t="str">
        <f>HYPERLINK("Gene3444-zp_tree_all.dnd", "Gene3444-tree")</f>
        <v>Gene3444-tree</v>
      </c>
      <c r="L58">
        <v>2</v>
      </c>
      <c r="M58">
        <v>2</v>
      </c>
      <c r="N58">
        <v>2</v>
      </c>
      <c r="O58">
        <v>2</v>
      </c>
      <c r="P58">
        <v>0.5</v>
      </c>
      <c r="Q58" t="s">
        <v>124</v>
      </c>
      <c r="R58" t="s">
        <v>124</v>
      </c>
      <c r="S58" t="s">
        <v>66</v>
      </c>
      <c r="T58" t="s">
        <v>66</v>
      </c>
      <c r="U58">
        <v>0</v>
      </c>
      <c r="V58">
        <v>0</v>
      </c>
      <c r="W58">
        <v>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6</v>
      </c>
      <c r="AH58">
        <v>0</v>
      </c>
      <c r="AI58">
        <v>4</v>
      </c>
      <c r="AJ58">
        <v>1</v>
      </c>
      <c r="AK58">
        <v>18</v>
      </c>
      <c r="AL58">
        <v>6</v>
      </c>
      <c r="AM58">
        <v>1</v>
      </c>
      <c r="AN58">
        <v>0</v>
      </c>
      <c r="AO58" t="s">
        <v>3458</v>
      </c>
      <c r="AP58" t="s">
        <v>68</v>
      </c>
      <c r="AQ58">
        <v>0.68899999999999995</v>
      </c>
      <c r="AR58" t="s">
        <v>69</v>
      </c>
      <c r="AS58">
        <v>19</v>
      </c>
      <c r="AT58">
        <v>6</v>
      </c>
      <c r="AU58">
        <v>2.3199999999999998E-2</v>
      </c>
      <c r="AV58">
        <v>-5.5100000000000001E-3</v>
      </c>
      <c r="AW58">
        <v>9.1310000000000002E-2</v>
      </c>
      <c r="AX58">
        <v>-2.044E-2</v>
      </c>
      <c r="AY58">
        <v>7.0000000000000001E-3</v>
      </c>
      <c r="AZ58">
        <v>-2.2699999999999999E-3</v>
      </c>
      <c r="BA58">
        <v>7.671E-2</v>
      </c>
      <c r="BB58">
        <v>1</v>
      </c>
      <c r="BC58" t="s">
        <v>70</v>
      </c>
      <c r="BD58">
        <v>-0.73299999999999998</v>
      </c>
      <c r="BE58">
        <v>-0.73299999999999998</v>
      </c>
      <c r="BF58" t="s">
        <v>139</v>
      </c>
      <c r="BG58">
        <v>-0.16595744680850999</v>
      </c>
      <c r="BI58">
        <v>7.671E-2</v>
      </c>
      <c r="BJ58">
        <v>-0.16595744680850999</v>
      </c>
    </row>
    <row r="59" spans="1:62">
      <c r="A59">
        <v>984</v>
      </c>
      <c r="B59" t="s">
        <v>1089</v>
      </c>
      <c r="D59" t="s">
        <v>66</v>
      </c>
      <c r="E59">
        <v>1050034</v>
      </c>
      <c r="F59">
        <v>1050234</v>
      </c>
      <c r="G59" t="s">
        <v>1091</v>
      </c>
      <c r="H59">
        <v>67</v>
      </c>
      <c r="I59" t="s">
        <v>63</v>
      </c>
      <c r="J59">
        <v>5</v>
      </c>
      <c r="K59" t="str">
        <f>HYPERLINK("Gene984-zp_tree_all.dnd", "Gene984-tree")</f>
        <v>Gene984-tree</v>
      </c>
      <c r="L59">
        <v>4</v>
      </c>
      <c r="M59">
        <v>1</v>
      </c>
      <c r="N59">
        <v>3</v>
      </c>
      <c r="O59">
        <v>1</v>
      </c>
      <c r="P59">
        <v>0.25</v>
      </c>
      <c r="Q59" t="s">
        <v>112</v>
      </c>
      <c r="R59" t="s">
        <v>65</v>
      </c>
      <c r="S59" t="s">
        <v>66</v>
      </c>
      <c r="T59" t="s">
        <v>66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3</v>
      </c>
      <c r="AJ59">
        <v>1</v>
      </c>
      <c r="AK59">
        <v>3</v>
      </c>
      <c r="AL59">
        <v>1</v>
      </c>
      <c r="AM59">
        <v>1</v>
      </c>
      <c r="AN59">
        <v>0</v>
      </c>
      <c r="AO59" t="s">
        <v>1092</v>
      </c>
      <c r="AP59" t="s">
        <v>68</v>
      </c>
      <c r="AQ59">
        <v>0.64800000000000002</v>
      </c>
      <c r="AR59" t="s">
        <v>69</v>
      </c>
      <c r="AS59">
        <v>4</v>
      </c>
      <c r="AT59">
        <v>1</v>
      </c>
      <c r="AU59">
        <v>1.244E-2</v>
      </c>
      <c r="AV59">
        <v>-1.9400000000000001E-3</v>
      </c>
      <c r="AW59">
        <v>4.3619999999999999E-2</v>
      </c>
      <c r="AX59">
        <v>-1.06E-2</v>
      </c>
      <c r="AY59">
        <v>3.2799999999999999E-3</v>
      </c>
      <c r="AZ59">
        <v>-1.2199999999999999E-3</v>
      </c>
      <c r="BA59">
        <v>7.5079999999999994E-2</v>
      </c>
      <c r="BB59">
        <v>1</v>
      </c>
      <c r="BC59" t="s">
        <v>70</v>
      </c>
      <c r="BD59">
        <v>0.61499999999999999</v>
      </c>
      <c r="BE59">
        <v>-1.0940000000000001</v>
      </c>
      <c r="BF59" t="s">
        <v>139</v>
      </c>
      <c r="BG59">
        <v>3.2258064516128997E-2</v>
      </c>
      <c r="BI59">
        <v>7.5079999999999994E-2</v>
      </c>
      <c r="BJ59">
        <v>3.2258064516128997E-2</v>
      </c>
    </row>
    <row r="60" spans="1:62">
      <c r="A60">
        <v>2501</v>
      </c>
      <c r="B60" t="s">
        <v>2477</v>
      </c>
      <c r="D60" t="s">
        <v>60</v>
      </c>
      <c r="E60">
        <v>2542047</v>
      </c>
      <c r="F60">
        <v>2542439</v>
      </c>
      <c r="G60" t="s">
        <v>74</v>
      </c>
      <c r="H60">
        <v>131</v>
      </c>
      <c r="I60" t="s">
        <v>63</v>
      </c>
      <c r="J60">
        <v>5</v>
      </c>
      <c r="K60" t="str">
        <f>HYPERLINK("Gene2501-zp_tree_all.dnd", "Gene2501-tree")</f>
        <v>Gene2501-tree</v>
      </c>
      <c r="L60">
        <v>3</v>
      </c>
      <c r="M60">
        <v>2</v>
      </c>
      <c r="N60">
        <v>3</v>
      </c>
      <c r="O60">
        <v>2</v>
      </c>
      <c r="P60">
        <v>0.4</v>
      </c>
      <c r="Q60" t="s">
        <v>86</v>
      </c>
      <c r="R60" t="s">
        <v>124</v>
      </c>
      <c r="S60" t="s">
        <v>66</v>
      </c>
      <c r="T60" t="s">
        <v>66</v>
      </c>
      <c r="U60">
        <v>0</v>
      </c>
      <c r="V60">
        <v>0</v>
      </c>
      <c r="W60">
        <v>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3</v>
      </c>
      <c r="AH60">
        <v>0</v>
      </c>
      <c r="AI60">
        <v>4</v>
      </c>
      <c r="AJ60">
        <v>2</v>
      </c>
      <c r="AK60">
        <v>7</v>
      </c>
      <c r="AL60">
        <v>3</v>
      </c>
      <c r="AM60">
        <v>3</v>
      </c>
      <c r="AN60">
        <v>0</v>
      </c>
      <c r="AO60" t="s">
        <v>2479</v>
      </c>
      <c r="AP60" t="s">
        <v>68</v>
      </c>
      <c r="AQ60">
        <v>1.375</v>
      </c>
      <c r="AR60" t="s">
        <v>69</v>
      </c>
      <c r="AS60">
        <v>10</v>
      </c>
      <c r="AT60">
        <v>3</v>
      </c>
      <c r="AU60">
        <v>1.4760000000000001E-2</v>
      </c>
      <c r="AV60">
        <v>-2.0600000000000002E-3</v>
      </c>
      <c r="AW60">
        <v>5.3650000000000003E-2</v>
      </c>
      <c r="AX60">
        <v>-7.2199999999999999E-3</v>
      </c>
      <c r="AY60">
        <v>3.9699999999999996E-3</v>
      </c>
      <c r="AZ60">
        <v>-1.0300000000000001E-3</v>
      </c>
      <c r="BA60">
        <v>7.3999999999999996E-2</v>
      </c>
      <c r="BB60">
        <v>1</v>
      </c>
      <c r="BC60" t="s">
        <v>70</v>
      </c>
      <c r="BD60">
        <v>-0.51200000000000001</v>
      </c>
      <c r="BE60">
        <v>-0.51200000000000001</v>
      </c>
      <c r="BF60" t="s">
        <v>139</v>
      </c>
      <c r="BG60">
        <v>-8.4745762711864403E-2</v>
      </c>
      <c r="BI60">
        <v>7.3999999999999996E-2</v>
      </c>
      <c r="BJ60">
        <v>-8.4745762711864403E-2</v>
      </c>
    </row>
    <row r="61" spans="1:62">
      <c r="A61">
        <v>1843</v>
      </c>
      <c r="B61" t="s">
        <v>2053</v>
      </c>
      <c r="D61" t="s">
        <v>66</v>
      </c>
      <c r="E61">
        <v>1938069</v>
      </c>
      <c r="F61">
        <v>1938476</v>
      </c>
      <c r="G61" t="s">
        <v>74</v>
      </c>
      <c r="H61">
        <v>136</v>
      </c>
      <c r="I61" t="s">
        <v>63</v>
      </c>
      <c r="J61">
        <v>5</v>
      </c>
      <c r="K61" t="str">
        <f>HYPERLINK("Gene1843-zp_tree_all.dnd", "Gene1843-tree")</f>
        <v>Gene1843-tree</v>
      </c>
      <c r="L61">
        <v>0</v>
      </c>
      <c r="M61">
        <v>5</v>
      </c>
      <c r="N61">
        <v>0</v>
      </c>
      <c r="O61">
        <v>4</v>
      </c>
      <c r="P61">
        <v>1</v>
      </c>
      <c r="Q61" t="s">
        <v>66</v>
      </c>
      <c r="R61" t="s">
        <v>135</v>
      </c>
      <c r="S61">
        <v>3.1949999999999998</v>
      </c>
      <c r="T61" t="s">
        <v>69</v>
      </c>
      <c r="U61">
        <v>0</v>
      </c>
      <c r="V61">
        <v>0</v>
      </c>
      <c r="W61">
        <v>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</v>
      </c>
      <c r="AH61">
        <v>0</v>
      </c>
      <c r="AI61">
        <v>3</v>
      </c>
      <c r="AJ61">
        <v>1</v>
      </c>
      <c r="AK61">
        <v>11</v>
      </c>
      <c r="AL61">
        <v>3</v>
      </c>
      <c r="AM61">
        <v>9</v>
      </c>
      <c r="AN61">
        <v>2</v>
      </c>
      <c r="AO61" t="s">
        <v>2055</v>
      </c>
      <c r="AP61" t="s">
        <v>2056</v>
      </c>
      <c r="AQ61">
        <v>3.093</v>
      </c>
      <c r="AR61" t="s">
        <v>239</v>
      </c>
      <c r="AS61">
        <v>20</v>
      </c>
      <c r="AT61">
        <v>5</v>
      </c>
      <c r="AU61">
        <v>3.524E-2</v>
      </c>
      <c r="AV61">
        <v>-6.0200000000000002E-3</v>
      </c>
      <c r="AW61">
        <v>0.13885</v>
      </c>
      <c r="AX61">
        <v>-2.4879999999999999E-2</v>
      </c>
      <c r="AY61">
        <v>1.022E-2</v>
      </c>
      <c r="AZ61">
        <v>-1.7799999999999999E-3</v>
      </c>
      <c r="BA61">
        <v>7.3630000000000001E-2</v>
      </c>
      <c r="BB61">
        <v>1</v>
      </c>
      <c r="BC61" t="s">
        <v>70</v>
      </c>
      <c r="BD61">
        <v>0.374</v>
      </c>
      <c r="BE61">
        <v>5.1999999999999998E-2</v>
      </c>
      <c r="BF61" t="s">
        <v>139</v>
      </c>
      <c r="BG61">
        <v>-2.9239766081871298E-2</v>
      </c>
      <c r="BI61">
        <v>7.3630000000000001E-2</v>
      </c>
      <c r="BJ61">
        <v>-2.9239766081871298E-2</v>
      </c>
    </row>
    <row r="62" spans="1:62">
      <c r="A62">
        <v>2734</v>
      </c>
      <c r="B62" t="s">
        <v>2637</v>
      </c>
      <c r="D62" t="s">
        <v>60</v>
      </c>
      <c r="E62">
        <v>2742909</v>
      </c>
      <c r="F62">
        <v>2743886</v>
      </c>
      <c r="G62" t="s">
        <v>2639</v>
      </c>
      <c r="H62">
        <v>326</v>
      </c>
      <c r="I62" t="s">
        <v>85</v>
      </c>
      <c r="J62">
        <v>4</v>
      </c>
      <c r="K62" t="str">
        <f>HYPERLINK("Gene2734-zp_tree_all.dnd", "Gene2734-tree")</f>
        <v>Gene2734-tree</v>
      </c>
      <c r="L62">
        <v>1</v>
      </c>
      <c r="M62">
        <v>3</v>
      </c>
      <c r="N62">
        <v>1</v>
      </c>
      <c r="O62">
        <v>3</v>
      </c>
      <c r="P62">
        <v>0.75</v>
      </c>
      <c r="Q62" t="s">
        <v>65</v>
      </c>
      <c r="R62" t="s">
        <v>86</v>
      </c>
      <c r="S62" t="s">
        <v>66</v>
      </c>
      <c r="T62" t="s">
        <v>66</v>
      </c>
      <c r="U62">
        <v>0</v>
      </c>
      <c r="V62">
        <v>0</v>
      </c>
      <c r="W62">
        <v>12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12</v>
      </c>
      <c r="AH62">
        <v>0</v>
      </c>
      <c r="AI62">
        <v>4</v>
      </c>
      <c r="AJ62">
        <v>1</v>
      </c>
      <c r="AK62">
        <v>44</v>
      </c>
      <c r="AL62">
        <v>12</v>
      </c>
      <c r="AM62">
        <v>1</v>
      </c>
      <c r="AN62">
        <v>0</v>
      </c>
      <c r="AO62" t="s">
        <v>2640</v>
      </c>
      <c r="AP62" t="s">
        <v>68</v>
      </c>
      <c r="AQ62">
        <v>0.74299999999999999</v>
      </c>
      <c r="AR62" t="s">
        <v>69</v>
      </c>
      <c r="AS62">
        <v>45</v>
      </c>
      <c r="AT62">
        <v>12</v>
      </c>
      <c r="AU62">
        <v>2.8969999999999999E-2</v>
      </c>
      <c r="AV62">
        <v>-8.2400000000000008E-3</v>
      </c>
      <c r="AW62">
        <v>0.11078</v>
      </c>
      <c r="AX62">
        <v>-3.4279999999999998E-2</v>
      </c>
      <c r="AY62">
        <v>8.0300000000000007E-3</v>
      </c>
      <c r="AZ62">
        <v>-1.9E-3</v>
      </c>
      <c r="BA62">
        <v>7.2510000000000005E-2</v>
      </c>
      <c r="BB62">
        <v>1</v>
      </c>
      <c r="BC62" t="s">
        <v>70</v>
      </c>
      <c r="BD62">
        <v>-0.755</v>
      </c>
      <c r="BE62">
        <v>-0.755</v>
      </c>
      <c r="BF62" t="s">
        <v>139</v>
      </c>
      <c r="BG62">
        <v>-0.202672605790645</v>
      </c>
      <c r="BI62">
        <v>7.2510000000000005E-2</v>
      </c>
      <c r="BJ62">
        <v>-0.202672605790645</v>
      </c>
    </row>
    <row r="63" spans="1:62">
      <c r="A63">
        <v>387</v>
      </c>
      <c r="B63" t="s">
        <v>664</v>
      </c>
      <c r="D63" t="s">
        <v>66</v>
      </c>
      <c r="E63">
        <v>437477</v>
      </c>
      <c r="F63">
        <v>438352</v>
      </c>
      <c r="G63" t="s">
        <v>666</v>
      </c>
      <c r="H63">
        <v>292</v>
      </c>
      <c r="I63" t="s">
        <v>63</v>
      </c>
      <c r="J63">
        <v>5</v>
      </c>
      <c r="K63" t="str">
        <f>HYPERLINK("Gene387-zp_tree_all.dnd", "Gene387-tree")</f>
        <v>Gene387-tree</v>
      </c>
      <c r="L63">
        <v>0</v>
      </c>
      <c r="M63">
        <v>5</v>
      </c>
      <c r="N63">
        <v>0</v>
      </c>
      <c r="O63">
        <v>5</v>
      </c>
      <c r="P63">
        <v>1</v>
      </c>
      <c r="Q63" t="s">
        <v>66</v>
      </c>
      <c r="R63" t="s">
        <v>96</v>
      </c>
      <c r="S63" t="s">
        <v>66</v>
      </c>
      <c r="T63" t="s">
        <v>66</v>
      </c>
      <c r="U63">
        <v>3</v>
      </c>
      <c r="V63">
        <v>6</v>
      </c>
      <c r="W63">
        <v>10</v>
      </c>
      <c r="X63">
        <v>0.375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</v>
      </c>
      <c r="AE63">
        <v>2</v>
      </c>
      <c r="AF63">
        <v>6</v>
      </c>
      <c r="AG63">
        <v>10</v>
      </c>
      <c r="AH63">
        <v>0.375</v>
      </c>
      <c r="AI63">
        <v>5</v>
      </c>
      <c r="AJ63">
        <v>2</v>
      </c>
      <c r="AK63">
        <v>30</v>
      </c>
      <c r="AL63">
        <v>12</v>
      </c>
      <c r="AM63">
        <v>22</v>
      </c>
      <c r="AN63">
        <v>4</v>
      </c>
      <c r="AO63" t="s">
        <v>667</v>
      </c>
      <c r="AP63" t="s">
        <v>668</v>
      </c>
      <c r="AQ63">
        <v>1.339</v>
      </c>
      <c r="AR63" t="s">
        <v>69</v>
      </c>
      <c r="AS63">
        <v>52</v>
      </c>
      <c r="AT63">
        <v>16</v>
      </c>
      <c r="AU63">
        <v>3.4250000000000003E-2</v>
      </c>
      <c r="AV63">
        <v>-4.3699999999999998E-3</v>
      </c>
      <c r="AW63">
        <v>0.13291</v>
      </c>
      <c r="AX63">
        <v>-2.0469999999999999E-2</v>
      </c>
      <c r="AY63">
        <v>9.3600000000000003E-3</v>
      </c>
      <c r="AZ63">
        <v>-9.7000000000000005E-4</v>
      </c>
      <c r="BA63">
        <v>7.0449999999999999E-2</v>
      </c>
      <c r="BB63">
        <v>1</v>
      </c>
      <c r="BC63" t="s">
        <v>70</v>
      </c>
      <c r="BD63">
        <v>0.315</v>
      </c>
      <c r="BE63">
        <v>-0.315</v>
      </c>
      <c r="BF63" t="s">
        <v>139</v>
      </c>
      <c r="BG63">
        <v>2.9850746268656699E-2</v>
      </c>
      <c r="BI63">
        <v>7.0449999999999999E-2</v>
      </c>
      <c r="BJ63">
        <v>2.9850746268656699E-2</v>
      </c>
    </row>
    <row r="64" spans="1:62">
      <c r="A64">
        <v>156</v>
      </c>
      <c r="B64" t="s">
        <v>483</v>
      </c>
      <c r="D64" t="s">
        <v>66</v>
      </c>
      <c r="E64">
        <v>158518</v>
      </c>
      <c r="F64">
        <v>159072</v>
      </c>
      <c r="G64" t="s">
        <v>485</v>
      </c>
      <c r="H64">
        <v>185</v>
      </c>
      <c r="I64" t="s">
        <v>63</v>
      </c>
      <c r="J64">
        <v>5</v>
      </c>
      <c r="K64" t="str">
        <f>HYPERLINK("Gene156-zp_tree_all.dnd", "Gene156-tree")</f>
        <v>Gene156-tree</v>
      </c>
      <c r="L64">
        <v>4</v>
      </c>
      <c r="M64">
        <v>1</v>
      </c>
      <c r="N64">
        <v>3</v>
      </c>
      <c r="O64">
        <v>1</v>
      </c>
      <c r="P64">
        <v>0.25</v>
      </c>
      <c r="Q64" t="s">
        <v>112</v>
      </c>
      <c r="R64" t="s">
        <v>65</v>
      </c>
      <c r="S64" t="s">
        <v>66</v>
      </c>
      <c r="T64" t="s">
        <v>66</v>
      </c>
      <c r="U64">
        <v>0</v>
      </c>
      <c r="V64">
        <v>0</v>
      </c>
      <c r="W64">
        <v>6</v>
      </c>
      <c r="X64">
        <v>0</v>
      </c>
      <c r="Y64">
        <v>0</v>
      </c>
      <c r="Z64">
        <v>0</v>
      </c>
      <c r="AA64">
        <v>0</v>
      </c>
      <c r="AB64">
        <v>5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3</v>
      </c>
      <c r="AJ64">
        <v>1</v>
      </c>
      <c r="AK64">
        <v>5</v>
      </c>
      <c r="AL64">
        <v>1</v>
      </c>
      <c r="AM64">
        <v>14</v>
      </c>
      <c r="AN64">
        <v>5</v>
      </c>
      <c r="AO64" t="s">
        <v>486</v>
      </c>
      <c r="AP64" t="s">
        <v>487</v>
      </c>
      <c r="AQ64">
        <v>0.54400000000000004</v>
      </c>
      <c r="AR64" t="s">
        <v>69</v>
      </c>
      <c r="AS64">
        <v>19</v>
      </c>
      <c r="AT64">
        <v>6</v>
      </c>
      <c r="AU64">
        <v>2.8230000000000002E-2</v>
      </c>
      <c r="AV64">
        <v>-6.6600000000000001E-3</v>
      </c>
      <c r="AW64">
        <v>0.12328</v>
      </c>
      <c r="AX64">
        <v>-2.895E-2</v>
      </c>
      <c r="AY64">
        <v>8.6199999999999992E-3</v>
      </c>
      <c r="AZ64">
        <v>-1.6900000000000001E-3</v>
      </c>
      <c r="BA64">
        <v>6.9940000000000002E-2</v>
      </c>
      <c r="BB64">
        <v>1</v>
      </c>
      <c r="BC64" t="s">
        <v>70</v>
      </c>
      <c r="BD64">
        <v>1.24</v>
      </c>
      <c r="BE64">
        <v>1.24</v>
      </c>
      <c r="BF64" t="s">
        <v>139</v>
      </c>
      <c r="BG64">
        <v>-0.15942028985507201</v>
      </c>
      <c r="BI64">
        <v>6.9940000000000002E-2</v>
      </c>
      <c r="BJ64">
        <v>-0.15942028985507201</v>
      </c>
    </row>
    <row r="65" spans="1:62">
      <c r="A65">
        <v>360</v>
      </c>
      <c r="B65" t="s">
        <v>633</v>
      </c>
      <c r="D65" t="s">
        <v>66</v>
      </c>
      <c r="E65">
        <v>409968</v>
      </c>
      <c r="F65">
        <v>410669</v>
      </c>
      <c r="G65" t="s">
        <v>635</v>
      </c>
      <c r="H65">
        <v>234</v>
      </c>
      <c r="I65" t="s">
        <v>63</v>
      </c>
      <c r="J65">
        <v>5</v>
      </c>
      <c r="K65" t="str">
        <f>HYPERLINK("Gene360-zp_tree_all.dnd", "Gene360-tree")</f>
        <v>Gene360-tree</v>
      </c>
      <c r="L65">
        <v>3</v>
      </c>
      <c r="M65">
        <v>2</v>
      </c>
      <c r="N65">
        <v>3</v>
      </c>
      <c r="O65">
        <v>2</v>
      </c>
      <c r="P65">
        <v>0.4</v>
      </c>
      <c r="Q65" t="s">
        <v>86</v>
      </c>
      <c r="R65" t="s">
        <v>124</v>
      </c>
      <c r="S65" t="s">
        <v>66</v>
      </c>
      <c r="T65" t="s">
        <v>66</v>
      </c>
      <c r="U65">
        <v>1</v>
      </c>
      <c r="V65">
        <v>2</v>
      </c>
      <c r="W65">
        <v>3</v>
      </c>
      <c r="X65">
        <v>0.4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0</v>
      </c>
      <c r="AI65">
        <v>4</v>
      </c>
      <c r="AJ65">
        <v>2</v>
      </c>
      <c r="AK65">
        <v>9</v>
      </c>
      <c r="AL65">
        <v>3</v>
      </c>
      <c r="AM65">
        <v>10</v>
      </c>
      <c r="AN65">
        <v>2</v>
      </c>
      <c r="AO65" t="s">
        <v>636</v>
      </c>
      <c r="AP65" t="s">
        <v>637</v>
      </c>
      <c r="AQ65">
        <v>0.56499999999999995</v>
      </c>
      <c r="AR65" t="s">
        <v>69</v>
      </c>
      <c r="AS65">
        <v>19</v>
      </c>
      <c r="AT65">
        <v>5</v>
      </c>
      <c r="AU65">
        <v>1.61E-2</v>
      </c>
      <c r="AV65">
        <v>-2.5600000000000002E-3</v>
      </c>
      <c r="AW65">
        <v>5.5140000000000002E-2</v>
      </c>
      <c r="AX65">
        <v>-9.3399999999999993E-3</v>
      </c>
      <c r="AY65">
        <v>3.82E-3</v>
      </c>
      <c r="AZ65">
        <v>-5.9999999999999995E-4</v>
      </c>
      <c r="BA65">
        <v>6.9269999999999998E-2</v>
      </c>
      <c r="BB65">
        <v>1</v>
      </c>
      <c r="BC65" t="s">
        <v>70</v>
      </c>
      <c r="BD65">
        <v>0.52</v>
      </c>
      <c r="BE65">
        <v>0.16900000000000001</v>
      </c>
      <c r="BF65" t="s">
        <v>139</v>
      </c>
      <c r="BG65">
        <v>9.5808383233532898E-2</v>
      </c>
      <c r="BI65">
        <v>6.9269999999999998E-2</v>
      </c>
      <c r="BJ65">
        <v>9.5808383233532898E-2</v>
      </c>
    </row>
    <row r="66" spans="1:62">
      <c r="A66">
        <v>3281</v>
      </c>
      <c r="B66" t="s">
        <v>3285</v>
      </c>
      <c r="D66" t="s">
        <v>60</v>
      </c>
      <c r="E66">
        <v>3317502</v>
      </c>
      <c r="F66">
        <v>3317999</v>
      </c>
      <c r="G66" t="s">
        <v>74</v>
      </c>
      <c r="H66">
        <v>166</v>
      </c>
      <c r="I66" t="s">
        <v>63</v>
      </c>
      <c r="J66">
        <v>5</v>
      </c>
      <c r="K66" t="str">
        <f>HYPERLINK("Gene3281-zp_tree_all.dnd", "Gene3281-tree")</f>
        <v>Gene3281-tree</v>
      </c>
      <c r="L66">
        <v>3</v>
      </c>
      <c r="M66">
        <v>2</v>
      </c>
      <c r="N66">
        <v>3</v>
      </c>
      <c r="O66">
        <v>2</v>
      </c>
      <c r="P66">
        <v>0.4</v>
      </c>
      <c r="Q66" t="s">
        <v>86</v>
      </c>
      <c r="R66" t="s">
        <v>124</v>
      </c>
      <c r="S66" t="s">
        <v>66</v>
      </c>
      <c r="T66" t="s">
        <v>66</v>
      </c>
      <c r="U66">
        <v>1</v>
      </c>
      <c r="V66">
        <v>2</v>
      </c>
      <c r="W66">
        <v>5</v>
      </c>
      <c r="X66">
        <v>0.28571000000000002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</v>
      </c>
      <c r="AF66">
        <v>2</v>
      </c>
      <c r="AG66">
        <v>5</v>
      </c>
      <c r="AH66">
        <v>0.28571000000000002</v>
      </c>
      <c r="AI66">
        <v>4</v>
      </c>
      <c r="AJ66">
        <v>2</v>
      </c>
      <c r="AK66">
        <v>11</v>
      </c>
      <c r="AL66">
        <v>4</v>
      </c>
      <c r="AM66">
        <v>15</v>
      </c>
      <c r="AN66">
        <v>3</v>
      </c>
      <c r="AO66" t="s">
        <v>3287</v>
      </c>
      <c r="AP66" t="s">
        <v>3288</v>
      </c>
      <c r="AQ66">
        <v>0.58399999999999996</v>
      </c>
      <c r="AR66" t="s">
        <v>69</v>
      </c>
      <c r="AS66">
        <v>26</v>
      </c>
      <c r="AT66">
        <v>7</v>
      </c>
      <c r="AU66">
        <v>3.313E-2</v>
      </c>
      <c r="AV66">
        <v>-5.7600000000000004E-3</v>
      </c>
      <c r="AW66">
        <v>0.12895999999999999</v>
      </c>
      <c r="AX66">
        <v>-2.2519999999999998E-2</v>
      </c>
      <c r="AY66">
        <v>8.9099999999999995E-3</v>
      </c>
      <c r="AZ66">
        <v>-1.8600000000000001E-3</v>
      </c>
      <c r="BA66">
        <v>6.9120000000000001E-2</v>
      </c>
      <c r="BB66">
        <v>1</v>
      </c>
      <c r="BC66" t="s">
        <v>70</v>
      </c>
      <c r="BD66">
        <v>0.55600000000000005</v>
      </c>
      <c r="BE66">
        <v>0.312</v>
      </c>
      <c r="BF66" t="s">
        <v>139</v>
      </c>
      <c r="BG66">
        <v>-8.5201793721972993E-2</v>
      </c>
      <c r="BI66">
        <v>6.9120000000000001E-2</v>
      </c>
      <c r="BJ66">
        <v>-8.5201793721972993E-2</v>
      </c>
    </row>
    <row r="67" spans="1:62">
      <c r="A67">
        <v>3023</v>
      </c>
      <c r="B67" t="s">
        <v>3021</v>
      </c>
      <c r="D67" t="s">
        <v>60</v>
      </c>
      <c r="E67">
        <v>3040092</v>
      </c>
      <c r="F67">
        <v>3040721</v>
      </c>
      <c r="G67" t="s">
        <v>3023</v>
      </c>
      <c r="H67">
        <v>210</v>
      </c>
      <c r="I67" t="s">
        <v>63</v>
      </c>
      <c r="J67">
        <v>5</v>
      </c>
      <c r="K67" t="str">
        <f>HYPERLINK("Gene3023-zp_tree_all.dnd", "Gene3023-tree")</f>
        <v>Gene3023-tree</v>
      </c>
      <c r="L67">
        <v>2</v>
      </c>
      <c r="M67">
        <v>3</v>
      </c>
      <c r="N67">
        <v>2</v>
      </c>
      <c r="O67">
        <v>3</v>
      </c>
      <c r="P67">
        <v>0.6</v>
      </c>
      <c r="Q67" t="s">
        <v>124</v>
      </c>
      <c r="R67" t="s">
        <v>86</v>
      </c>
      <c r="S67" t="s">
        <v>66</v>
      </c>
      <c r="T67" t="s">
        <v>66</v>
      </c>
      <c r="U67">
        <v>0</v>
      </c>
      <c r="V67">
        <v>0</v>
      </c>
      <c r="W67">
        <v>8</v>
      </c>
      <c r="X67">
        <v>0</v>
      </c>
      <c r="Y67">
        <v>0</v>
      </c>
      <c r="Z67">
        <v>0</v>
      </c>
      <c r="AA67">
        <v>0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0</v>
      </c>
      <c r="AI67">
        <v>5</v>
      </c>
      <c r="AJ67">
        <v>2</v>
      </c>
      <c r="AK67">
        <v>20</v>
      </c>
      <c r="AL67">
        <v>4</v>
      </c>
      <c r="AM67">
        <v>13</v>
      </c>
      <c r="AN67">
        <v>4</v>
      </c>
      <c r="AO67" t="s">
        <v>3024</v>
      </c>
      <c r="AP67" t="s">
        <v>3025</v>
      </c>
      <c r="AQ67">
        <v>0.25600000000000001</v>
      </c>
      <c r="AR67" t="s">
        <v>69</v>
      </c>
      <c r="AS67">
        <v>33</v>
      </c>
      <c r="AT67">
        <v>8</v>
      </c>
      <c r="AU67">
        <v>3.032E-2</v>
      </c>
      <c r="AV67">
        <v>-5.3299999999999997E-3</v>
      </c>
      <c r="AW67">
        <v>0.11975</v>
      </c>
      <c r="AX67">
        <v>-2.2200000000000001E-2</v>
      </c>
      <c r="AY67">
        <v>8.2199999999999999E-3</v>
      </c>
      <c r="AZ67">
        <v>-1.4599999999999999E-3</v>
      </c>
      <c r="BA67">
        <v>6.8669999999999995E-2</v>
      </c>
      <c r="BB67">
        <v>1</v>
      </c>
      <c r="BC67" t="s">
        <v>70</v>
      </c>
      <c r="BD67">
        <v>0.35399999999999998</v>
      </c>
      <c r="BE67">
        <v>0.14799999999999999</v>
      </c>
      <c r="BF67" t="s">
        <v>139</v>
      </c>
      <c r="BG67">
        <v>-0.105084745762711</v>
      </c>
      <c r="BI67">
        <v>6.8669999999999995E-2</v>
      </c>
      <c r="BJ67">
        <v>-0.105084745762711</v>
      </c>
    </row>
    <row r="68" spans="1:62">
      <c r="A68">
        <v>210</v>
      </c>
      <c r="B68" t="s">
        <v>537</v>
      </c>
      <c r="D68" t="s">
        <v>66</v>
      </c>
      <c r="E68">
        <v>230822</v>
      </c>
      <c r="F68">
        <v>231079</v>
      </c>
      <c r="G68" t="s">
        <v>74</v>
      </c>
      <c r="H68">
        <v>86</v>
      </c>
      <c r="I68" t="s">
        <v>106</v>
      </c>
      <c r="J68">
        <v>4</v>
      </c>
      <c r="K68" t="str">
        <f>HYPERLINK("Gene210-zp_tree_all.dnd", "Gene210-tree")</f>
        <v>Gene210-tree</v>
      </c>
      <c r="L68">
        <v>3</v>
      </c>
      <c r="M68">
        <v>1</v>
      </c>
      <c r="N68">
        <v>3</v>
      </c>
      <c r="O68">
        <v>1</v>
      </c>
      <c r="P68">
        <v>0.25</v>
      </c>
      <c r="Q68" t="s">
        <v>86</v>
      </c>
      <c r="R68" t="s">
        <v>65</v>
      </c>
      <c r="S68" t="s">
        <v>66</v>
      </c>
      <c r="T68" t="s">
        <v>66</v>
      </c>
      <c r="U68">
        <v>0</v>
      </c>
      <c r="V68">
        <v>0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2</v>
      </c>
      <c r="AH68">
        <v>0</v>
      </c>
      <c r="AI68">
        <v>3</v>
      </c>
      <c r="AJ68">
        <v>1</v>
      </c>
      <c r="AK68">
        <v>6</v>
      </c>
      <c r="AL68">
        <v>2</v>
      </c>
      <c r="AM68">
        <v>1</v>
      </c>
      <c r="AN68">
        <v>0</v>
      </c>
      <c r="AO68" t="s">
        <v>539</v>
      </c>
      <c r="AP68" t="s">
        <v>68</v>
      </c>
      <c r="AQ68">
        <v>0.68600000000000005</v>
      </c>
      <c r="AR68" t="s">
        <v>69</v>
      </c>
      <c r="AS68">
        <v>7</v>
      </c>
      <c r="AT68">
        <v>2</v>
      </c>
      <c r="AU68">
        <v>1.8089999999999998E-2</v>
      </c>
      <c r="AV68">
        <v>-4.3499999999999997E-3</v>
      </c>
      <c r="AW68">
        <v>7.1940000000000004E-2</v>
      </c>
      <c r="AX68">
        <v>-1.485E-2</v>
      </c>
      <c r="AY68">
        <v>4.9399999999999999E-3</v>
      </c>
      <c r="AZ68">
        <v>-2.0200000000000001E-3</v>
      </c>
      <c r="BA68">
        <v>6.8610000000000004E-2</v>
      </c>
      <c r="BB68">
        <v>1</v>
      </c>
      <c r="BC68" t="s">
        <v>70</v>
      </c>
      <c r="BD68">
        <v>-0.49199999999999999</v>
      </c>
      <c r="BE68">
        <v>-0.49199999999999999</v>
      </c>
      <c r="BF68" t="s">
        <v>139</v>
      </c>
      <c r="BG68">
        <v>0.109090909090909</v>
      </c>
      <c r="BI68">
        <v>6.8610000000000004E-2</v>
      </c>
      <c r="BJ68">
        <v>0.109090909090909</v>
      </c>
    </row>
    <row r="69" spans="1:62">
      <c r="A69">
        <v>1995</v>
      </c>
      <c r="B69" t="s">
        <v>2099</v>
      </c>
      <c r="D69" t="s">
        <v>60</v>
      </c>
      <c r="E69">
        <v>2127813</v>
      </c>
      <c r="F69">
        <v>2128418</v>
      </c>
      <c r="G69" t="s">
        <v>2101</v>
      </c>
      <c r="H69">
        <v>202</v>
      </c>
      <c r="I69" t="s">
        <v>63</v>
      </c>
      <c r="J69">
        <v>5</v>
      </c>
      <c r="K69" t="str">
        <f>HYPERLINK("Gene1995-zp_tree_all.dnd", "Gene1995-tree")</f>
        <v>Gene1995-tree</v>
      </c>
      <c r="L69">
        <v>3</v>
      </c>
      <c r="M69">
        <v>2</v>
      </c>
      <c r="N69">
        <v>3</v>
      </c>
      <c r="O69">
        <v>2</v>
      </c>
      <c r="P69">
        <v>0.4</v>
      </c>
      <c r="Q69" t="s">
        <v>86</v>
      </c>
      <c r="R69" t="s">
        <v>124</v>
      </c>
      <c r="S69" t="s">
        <v>66</v>
      </c>
      <c r="T69" t="s">
        <v>66</v>
      </c>
      <c r="U69">
        <v>2</v>
      </c>
      <c r="V69">
        <v>4</v>
      </c>
      <c r="W69">
        <v>4</v>
      </c>
      <c r="X69">
        <v>0.5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2</v>
      </c>
      <c r="AF69">
        <v>2</v>
      </c>
      <c r="AG69">
        <v>5</v>
      </c>
      <c r="AH69">
        <v>0.28571000000000002</v>
      </c>
      <c r="AI69">
        <v>5</v>
      </c>
      <c r="AJ69">
        <v>2</v>
      </c>
      <c r="AK69">
        <v>18</v>
      </c>
      <c r="AL69">
        <v>4</v>
      </c>
      <c r="AM69">
        <v>16</v>
      </c>
      <c r="AN69">
        <v>4</v>
      </c>
      <c r="AO69" t="s">
        <v>2102</v>
      </c>
      <c r="AP69" t="s">
        <v>2103</v>
      </c>
      <c r="AQ69">
        <v>5.1999999999999998E-2</v>
      </c>
      <c r="AR69" t="s">
        <v>69</v>
      </c>
      <c r="AS69">
        <v>34</v>
      </c>
      <c r="AT69">
        <v>8</v>
      </c>
      <c r="AU69">
        <v>3.2340000000000001E-2</v>
      </c>
      <c r="AV69">
        <v>-5.7200000000000003E-3</v>
      </c>
      <c r="AW69">
        <v>0.12673999999999999</v>
      </c>
      <c r="AX69">
        <v>-2.3380000000000001E-2</v>
      </c>
      <c r="AY69">
        <v>8.6E-3</v>
      </c>
      <c r="AZ69">
        <v>-1.64E-3</v>
      </c>
      <c r="BA69">
        <v>6.7890000000000006E-2</v>
      </c>
      <c r="BB69">
        <v>1</v>
      </c>
      <c r="BC69" t="s">
        <v>70</v>
      </c>
      <c r="BD69">
        <v>0.77800000000000002</v>
      </c>
      <c r="BE69">
        <v>0.44</v>
      </c>
      <c r="BF69" t="s">
        <v>139</v>
      </c>
      <c r="BG69">
        <v>-3.8610038610038598E-3</v>
      </c>
      <c r="BI69">
        <v>6.7890000000000006E-2</v>
      </c>
      <c r="BJ69">
        <v>-3.8610038610038598E-3</v>
      </c>
    </row>
    <row r="70" spans="1:62">
      <c r="A70">
        <v>1828</v>
      </c>
      <c r="B70" t="s">
        <v>2035</v>
      </c>
      <c r="D70" t="s">
        <v>66</v>
      </c>
      <c r="E70">
        <v>1925658</v>
      </c>
      <c r="F70">
        <v>1926047</v>
      </c>
      <c r="G70" t="s">
        <v>2037</v>
      </c>
      <c r="H70">
        <v>130</v>
      </c>
      <c r="I70" t="s">
        <v>63</v>
      </c>
      <c r="J70">
        <v>5</v>
      </c>
      <c r="K70" t="str">
        <f>HYPERLINK("Gene1828-zp_tree_all.dnd", "Gene1828-tree")</f>
        <v>Gene1828-tree</v>
      </c>
      <c r="L70">
        <v>3</v>
      </c>
      <c r="M70">
        <v>2</v>
      </c>
      <c r="N70">
        <v>3</v>
      </c>
      <c r="O70">
        <v>2</v>
      </c>
      <c r="P70">
        <v>0.4</v>
      </c>
      <c r="Q70" t="s">
        <v>86</v>
      </c>
      <c r="R70" t="s">
        <v>124</v>
      </c>
      <c r="S70" t="s">
        <v>66</v>
      </c>
      <c r="T70" t="s">
        <v>66</v>
      </c>
      <c r="U70">
        <v>2</v>
      </c>
      <c r="V70">
        <v>4</v>
      </c>
      <c r="W70">
        <v>3</v>
      </c>
      <c r="X70">
        <v>0.57142999999999999</v>
      </c>
      <c r="Y70">
        <v>0</v>
      </c>
      <c r="Z70">
        <v>0</v>
      </c>
      <c r="AA70">
        <v>0</v>
      </c>
      <c r="AB70">
        <v>2</v>
      </c>
      <c r="AC70">
        <v>0</v>
      </c>
      <c r="AD70">
        <v>0</v>
      </c>
      <c r="AE70">
        <v>0</v>
      </c>
      <c r="AF70">
        <v>0</v>
      </c>
      <c r="AG70">
        <v>5</v>
      </c>
      <c r="AH70">
        <v>0</v>
      </c>
      <c r="AI70">
        <v>4</v>
      </c>
      <c r="AJ70">
        <v>2</v>
      </c>
      <c r="AK70">
        <v>8</v>
      </c>
      <c r="AL70">
        <v>5</v>
      </c>
      <c r="AM70">
        <v>14</v>
      </c>
      <c r="AN70">
        <v>2</v>
      </c>
      <c r="AO70" t="s">
        <v>2038</v>
      </c>
      <c r="AP70" t="s">
        <v>2039</v>
      </c>
      <c r="AQ70">
        <v>1.0369999999999999</v>
      </c>
      <c r="AR70" t="s">
        <v>69</v>
      </c>
      <c r="AS70">
        <v>22</v>
      </c>
      <c r="AT70">
        <v>7</v>
      </c>
      <c r="AU70">
        <v>3.5900000000000001E-2</v>
      </c>
      <c r="AV70">
        <v>-5.2900000000000004E-3</v>
      </c>
      <c r="AW70">
        <v>0.15572</v>
      </c>
      <c r="AX70">
        <v>-2.7320000000000001E-2</v>
      </c>
      <c r="AY70">
        <v>1.038E-2</v>
      </c>
      <c r="AZ70">
        <v>-1.2800000000000001E-3</v>
      </c>
      <c r="BA70">
        <v>6.6680000000000003E-2</v>
      </c>
      <c r="BB70">
        <v>1</v>
      </c>
      <c r="BC70" t="s">
        <v>70</v>
      </c>
      <c r="BD70">
        <v>0.59799999999999998</v>
      </c>
      <c r="BE70">
        <v>0.13800000000000001</v>
      </c>
      <c r="BF70" t="s">
        <v>139</v>
      </c>
      <c r="BG70">
        <v>7.3825503355704702E-2</v>
      </c>
      <c r="BI70">
        <v>6.6680000000000003E-2</v>
      </c>
      <c r="BJ70">
        <v>7.3825503355704702E-2</v>
      </c>
    </row>
    <row r="71" spans="1:62">
      <c r="A71">
        <v>1079</v>
      </c>
      <c r="B71" t="s">
        <v>1168</v>
      </c>
      <c r="D71" t="s">
        <v>66</v>
      </c>
      <c r="E71">
        <v>1149321</v>
      </c>
      <c r="F71">
        <v>1149935</v>
      </c>
      <c r="G71" t="s">
        <v>1170</v>
      </c>
      <c r="H71">
        <v>205</v>
      </c>
      <c r="I71" t="s">
        <v>106</v>
      </c>
      <c r="J71">
        <v>4</v>
      </c>
      <c r="K71" t="str">
        <f>HYPERLINK("Gene1079-zp_tree_all.dnd", "Gene1079-tree")</f>
        <v>Gene1079-tree</v>
      </c>
      <c r="L71">
        <v>1</v>
      </c>
      <c r="M71">
        <v>3</v>
      </c>
      <c r="N71">
        <v>1</v>
      </c>
      <c r="O71">
        <v>3</v>
      </c>
      <c r="P71">
        <v>0.75</v>
      </c>
      <c r="Q71" t="s">
        <v>65</v>
      </c>
      <c r="R71" t="s">
        <v>86</v>
      </c>
      <c r="S71" t="s">
        <v>66</v>
      </c>
      <c r="T71" t="s">
        <v>66</v>
      </c>
      <c r="U71">
        <v>0</v>
      </c>
      <c r="V71">
        <v>0</v>
      </c>
      <c r="W71">
        <v>8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8</v>
      </c>
      <c r="AH71">
        <v>0</v>
      </c>
      <c r="AI71">
        <v>4</v>
      </c>
      <c r="AJ71">
        <v>1</v>
      </c>
      <c r="AK71">
        <v>26</v>
      </c>
      <c r="AL71">
        <v>8</v>
      </c>
      <c r="AM71">
        <v>1</v>
      </c>
      <c r="AN71">
        <v>0</v>
      </c>
      <c r="AO71" t="s">
        <v>1171</v>
      </c>
      <c r="AP71" t="s">
        <v>68</v>
      </c>
      <c r="AQ71">
        <v>1.0620000000000001</v>
      </c>
      <c r="AR71" t="s">
        <v>69</v>
      </c>
      <c r="AS71">
        <v>27</v>
      </c>
      <c r="AT71">
        <v>8</v>
      </c>
      <c r="AU71">
        <v>2.8729999999999999E-2</v>
      </c>
      <c r="AV71">
        <v>-5.11E-3</v>
      </c>
      <c r="AW71">
        <v>0.12274</v>
      </c>
      <c r="AX71">
        <v>-1.9970000000000002E-2</v>
      </c>
      <c r="AY71">
        <v>8.1799999999999998E-3</v>
      </c>
      <c r="AZ71">
        <v>-2.2699999999999999E-3</v>
      </c>
      <c r="BA71">
        <v>6.6650000000000001E-2</v>
      </c>
      <c r="BB71">
        <v>1</v>
      </c>
      <c r="BC71" t="s">
        <v>70</v>
      </c>
      <c r="BD71">
        <v>-0.77300000000000002</v>
      </c>
      <c r="BE71">
        <v>-0.77300000000000002</v>
      </c>
      <c r="BF71" t="s">
        <v>139</v>
      </c>
      <c r="BG71">
        <v>7.3529411764705803E-3</v>
      </c>
      <c r="BI71">
        <v>6.6650000000000001E-2</v>
      </c>
      <c r="BJ71">
        <v>7.3529411764705803E-3</v>
      </c>
    </row>
    <row r="72" spans="1:62">
      <c r="A72">
        <v>1009</v>
      </c>
      <c r="B72" t="s">
        <v>1109</v>
      </c>
      <c r="D72" t="s">
        <v>66</v>
      </c>
      <c r="E72">
        <v>1073898</v>
      </c>
      <c r="F72">
        <v>1074251</v>
      </c>
      <c r="G72" t="s">
        <v>74</v>
      </c>
      <c r="H72">
        <v>118</v>
      </c>
      <c r="I72" t="s">
        <v>63</v>
      </c>
      <c r="J72">
        <v>5</v>
      </c>
      <c r="K72" t="str">
        <f>HYPERLINK("Gene1009-zp_tree_all.dnd", "Gene1009-tree")</f>
        <v>Gene1009-tree</v>
      </c>
      <c r="L72">
        <v>5</v>
      </c>
      <c r="M72">
        <v>0</v>
      </c>
      <c r="N72">
        <v>5</v>
      </c>
      <c r="O72">
        <v>0</v>
      </c>
      <c r="P72">
        <v>0</v>
      </c>
      <c r="Q72" t="s">
        <v>96</v>
      </c>
      <c r="R72" t="s">
        <v>66</v>
      </c>
      <c r="S72" t="s">
        <v>66</v>
      </c>
      <c r="T72" t="s">
        <v>66</v>
      </c>
      <c r="U72">
        <v>0</v>
      </c>
      <c r="V72">
        <v>0</v>
      </c>
      <c r="W72">
        <v>3</v>
      </c>
      <c r="X72">
        <v>0</v>
      </c>
      <c r="Y72">
        <v>0</v>
      </c>
      <c r="Z72">
        <v>0</v>
      </c>
      <c r="AA72">
        <v>0</v>
      </c>
      <c r="AB72">
        <v>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5</v>
      </c>
      <c r="AJ72">
        <v>2</v>
      </c>
      <c r="AK72">
        <v>10</v>
      </c>
      <c r="AL72">
        <v>0</v>
      </c>
      <c r="AM72">
        <v>10</v>
      </c>
      <c r="AN72">
        <v>4</v>
      </c>
      <c r="AO72" t="s">
        <v>68</v>
      </c>
      <c r="AP72" t="s">
        <v>1111</v>
      </c>
      <c r="AQ72">
        <v>0.85199999999999998</v>
      </c>
      <c r="AR72" t="s">
        <v>69</v>
      </c>
      <c r="AS72">
        <v>20</v>
      </c>
      <c r="AT72">
        <v>4</v>
      </c>
      <c r="AU72">
        <v>3.3329999999999999E-2</v>
      </c>
      <c r="AV72">
        <v>-5.6299999999999996E-3</v>
      </c>
      <c r="AW72">
        <v>0.13228999999999999</v>
      </c>
      <c r="AX72">
        <v>-2.051E-2</v>
      </c>
      <c r="AY72">
        <v>8.8199999999999997E-3</v>
      </c>
      <c r="AZ72">
        <v>-2.0999999999999999E-3</v>
      </c>
      <c r="BA72">
        <v>6.6640000000000005E-2</v>
      </c>
      <c r="BB72">
        <v>1</v>
      </c>
      <c r="BC72" t="s">
        <v>70</v>
      </c>
      <c r="BD72">
        <v>1.2629999999999999</v>
      </c>
      <c r="BE72">
        <v>0.97</v>
      </c>
      <c r="BF72" t="s">
        <v>139</v>
      </c>
      <c r="BG72">
        <v>-6.4102564102564097E-2</v>
      </c>
      <c r="BI72">
        <v>6.6640000000000005E-2</v>
      </c>
      <c r="BJ72">
        <v>-6.4102564102564097E-2</v>
      </c>
    </row>
    <row r="73" spans="1:62">
      <c r="A73">
        <v>1039</v>
      </c>
      <c r="B73" t="s">
        <v>1130</v>
      </c>
      <c r="D73" t="s">
        <v>66</v>
      </c>
      <c r="E73">
        <v>1104426</v>
      </c>
      <c r="F73">
        <v>1105568</v>
      </c>
      <c r="G73" t="s">
        <v>1132</v>
      </c>
      <c r="H73">
        <v>381</v>
      </c>
      <c r="I73" t="s">
        <v>85</v>
      </c>
      <c r="J73">
        <v>4</v>
      </c>
      <c r="K73" t="str">
        <f>HYPERLINK("Gene1039-zp_tree_all.dnd", "Gene1039-tree")</f>
        <v>Gene1039-tree</v>
      </c>
      <c r="L73">
        <v>0</v>
      </c>
      <c r="M73">
        <v>4</v>
      </c>
      <c r="N73">
        <v>0</v>
      </c>
      <c r="O73">
        <v>4</v>
      </c>
      <c r="P73">
        <v>1</v>
      </c>
      <c r="Q73" t="s">
        <v>66</v>
      </c>
      <c r="R73" t="s">
        <v>64</v>
      </c>
      <c r="S73" t="s">
        <v>66</v>
      </c>
      <c r="T73" t="s">
        <v>66</v>
      </c>
      <c r="U73">
        <v>1</v>
      </c>
      <c r="V73">
        <v>2</v>
      </c>
      <c r="W73">
        <v>11</v>
      </c>
      <c r="X73">
        <v>0.15384999999999999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0</v>
      </c>
      <c r="AF73">
        <v>2</v>
      </c>
      <c r="AG73">
        <v>11</v>
      </c>
      <c r="AH73">
        <v>0.15384999999999999</v>
      </c>
      <c r="AI73">
        <v>4</v>
      </c>
      <c r="AJ73">
        <v>1</v>
      </c>
      <c r="AK73">
        <v>49</v>
      </c>
      <c r="AL73">
        <v>11</v>
      </c>
      <c r="AM73">
        <v>9</v>
      </c>
      <c r="AN73">
        <v>2</v>
      </c>
      <c r="AO73" t="s">
        <v>1133</v>
      </c>
      <c r="AP73" t="s">
        <v>1134</v>
      </c>
      <c r="AQ73">
        <v>7.0000000000000001E-3</v>
      </c>
      <c r="AR73" t="s">
        <v>69</v>
      </c>
      <c r="AS73">
        <v>58</v>
      </c>
      <c r="AT73">
        <v>13</v>
      </c>
      <c r="AU73">
        <v>3.1350000000000003E-2</v>
      </c>
      <c r="AV73">
        <v>-3.7599999999999999E-3</v>
      </c>
      <c r="AW73">
        <v>0.11487</v>
      </c>
      <c r="AX73">
        <v>-1.2880000000000001E-2</v>
      </c>
      <c r="AY73">
        <v>7.5500000000000003E-3</v>
      </c>
      <c r="AZ73">
        <v>-1.57E-3</v>
      </c>
      <c r="BA73">
        <v>6.5750000000000003E-2</v>
      </c>
      <c r="BB73">
        <v>1</v>
      </c>
      <c r="BC73" t="s">
        <v>70</v>
      </c>
      <c r="BD73">
        <v>-4.8000000000000001E-2</v>
      </c>
      <c r="BE73">
        <v>-0.193</v>
      </c>
      <c r="BF73" t="s">
        <v>139</v>
      </c>
      <c r="BG73">
        <v>-1.50375939849624E-2</v>
      </c>
      <c r="BI73">
        <v>6.5750000000000003E-2</v>
      </c>
      <c r="BJ73">
        <v>-1.50375939849624E-2</v>
      </c>
    </row>
    <row r="74" spans="1:62">
      <c r="A74">
        <v>1431</v>
      </c>
      <c r="B74" t="s">
        <v>1424</v>
      </c>
      <c r="D74" t="s">
        <v>66</v>
      </c>
      <c r="E74">
        <v>1476521</v>
      </c>
      <c r="F74">
        <v>1477012</v>
      </c>
      <c r="G74" t="s">
        <v>1426</v>
      </c>
      <c r="H74">
        <v>164</v>
      </c>
      <c r="I74" t="s">
        <v>85</v>
      </c>
      <c r="J74">
        <v>4</v>
      </c>
      <c r="K74" t="str">
        <f>HYPERLINK("Gene1431-zp_tree_all.dnd", "Gene1431-tree")</f>
        <v>Gene1431-tree</v>
      </c>
      <c r="L74">
        <v>2</v>
      </c>
      <c r="M74">
        <v>2</v>
      </c>
      <c r="N74">
        <v>2</v>
      </c>
      <c r="O74">
        <v>2</v>
      </c>
      <c r="P74">
        <v>0.5</v>
      </c>
      <c r="Q74" t="s">
        <v>124</v>
      </c>
      <c r="R74" t="s">
        <v>124</v>
      </c>
      <c r="S74" t="s">
        <v>66</v>
      </c>
      <c r="T74" t="s">
        <v>66</v>
      </c>
      <c r="U74">
        <v>0</v>
      </c>
      <c r="V74">
        <v>0</v>
      </c>
      <c r="W74">
        <v>4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4</v>
      </c>
      <c r="AH74">
        <v>0</v>
      </c>
      <c r="AI74">
        <v>4</v>
      </c>
      <c r="AJ74">
        <v>1</v>
      </c>
      <c r="AK74">
        <v>19</v>
      </c>
      <c r="AL74">
        <v>4</v>
      </c>
      <c r="AM74">
        <v>1</v>
      </c>
      <c r="AN74">
        <v>0</v>
      </c>
      <c r="AO74" t="s">
        <v>1427</v>
      </c>
      <c r="AP74" t="s">
        <v>68</v>
      </c>
      <c r="AQ74">
        <v>0.63800000000000001</v>
      </c>
      <c r="AR74" t="s">
        <v>69</v>
      </c>
      <c r="AS74">
        <v>20</v>
      </c>
      <c r="AT74">
        <v>4</v>
      </c>
      <c r="AU74">
        <v>2.4049999999999998E-2</v>
      </c>
      <c r="AV74">
        <v>-7.1000000000000004E-3</v>
      </c>
      <c r="AW74">
        <v>8.4610000000000005E-2</v>
      </c>
      <c r="AX74">
        <v>-2.606E-2</v>
      </c>
      <c r="AY74">
        <v>5.5100000000000001E-3</v>
      </c>
      <c r="AZ74">
        <v>-1.5900000000000001E-3</v>
      </c>
      <c r="BA74">
        <v>6.5079999999999999E-2</v>
      </c>
      <c r="BB74">
        <v>1</v>
      </c>
      <c r="BC74" t="s">
        <v>70</v>
      </c>
      <c r="BD74">
        <v>-0.58399999999999996</v>
      </c>
      <c r="BE74">
        <v>-0.58399999999999996</v>
      </c>
      <c r="BF74" t="s">
        <v>139</v>
      </c>
      <c r="BG74">
        <v>8.8709677419354802E-2</v>
      </c>
      <c r="BI74">
        <v>6.5079999999999999E-2</v>
      </c>
      <c r="BJ74">
        <v>8.8709677419354802E-2</v>
      </c>
    </row>
    <row r="75" spans="1:62">
      <c r="A75">
        <v>873</v>
      </c>
      <c r="B75" t="s">
        <v>996</v>
      </c>
      <c r="D75" t="s">
        <v>66</v>
      </c>
      <c r="E75">
        <v>936776</v>
      </c>
      <c r="F75">
        <v>936997</v>
      </c>
      <c r="G75" t="s">
        <v>74</v>
      </c>
      <c r="H75">
        <v>74</v>
      </c>
      <c r="I75" t="s">
        <v>63</v>
      </c>
      <c r="J75">
        <v>5</v>
      </c>
      <c r="K75" t="str">
        <f>HYPERLINK("Gene873-zp_tree_all.dnd", "Gene873-tree")</f>
        <v>Gene873-tree</v>
      </c>
      <c r="L75">
        <v>2</v>
      </c>
      <c r="M75">
        <v>3</v>
      </c>
      <c r="N75">
        <v>2</v>
      </c>
      <c r="O75">
        <v>2</v>
      </c>
      <c r="P75">
        <v>0.5</v>
      </c>
      <c r="Q75" t="s">
        <v>124</v>
      </c>
      <c r="R75" t="s">
        <v>185</v>
      </c>
      <c r="S75">
        <v>0.30599999999999999</v>
      </c>
      <c r="T75" t="s">
        <v>69</v>
      </c>
      <c r="U75">
        <v>0</v>
      </c>
      <c r="V75">
        <v>0</v>
      </c>
      <c r="W75">
        <v>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3</v>
      </c>
      <c r="AJ75">
        <v>1</v>
      </c>
      <c r="AK75">
        <v>3</v>
      </c>
      <c r="AL75">
        <v>1</v>
      </c>
      <c r="AM75">
        <v>4</v>
      </c>
      <c r="AN75">
        <v>1</v>
      </c>
      <c r="AO75" t="s">
        <v>998</v>
      </c>
      <c r="AP75" t="s">
        <v>999</v>
      </c>
      <c r="AQ75">
        <v>0.18</v>
      </c>
      <c r="AR75" t="s">
        <v>69</v>
      </c>
      <c r="AS75">
        <v>7</v>
      </c>
      <c r="AT75">
        <v>2</v>
      </c>
      <c r="AU75">
        <v>2.402E-2</v>
      </c>
      <c r="AV75">
        <v>-4.5900000000000003E-3</v>
      </c>
      <c r="AW75">
        <v>0.10188999999999999</v>
      </c>
      <c r="AX75">
        <v>-1.3050000000000001E-2</v>
      </c>
      <c r="AY75">
        <v>6.6100000000000004E-3</v>
      </c>
      <c r="AZ75">
        <v>-1.5900000000000001E-3</v>
      </c>
      <c r="BA75">
        <v>6.4890000000000003E-2</v>
      </c>
      <c r="BB75">
        <v>0.98899999999999999</v>
      </c>
      <c r="BC75" t="s">
        <v>70</v>
      </c>
      <c r="BD75">
        <v>0.46100000000000002</v>
      </c>
      <c r="BE75">
        <v>0.46100000000000002</v>
      </c>
      <c r="BF75" t="s">
        <v>139</v>
      </c>
      <c r="BG75">
        <v>-9.0909090909090898E-2</v>
      </c>
      <c r="BI75">
        <v>6.4890000000000003E-2</v>
      </c>
      <c r="BJ75">
        <v>-9.0909090909090898E-2</v>
      </c>
    </row>
    <row r="76" spans="1:62">
      <c r="A76">
        <v>1506</v>
      </c>
      <c r="B76" t="s">
        <v>1505</v>
      </c>
      <c r="D76" t="s">
        <v>66</v>
      </c>
      <c r="E76">
        <v>1545823</v>
      </c>
      <c r="F76">
        <v>1546008</v>
      </c>
      <c r="G76" t="s">
        <v>74</v>
      </c>
      <c r="H76">
        <v>62</v>
      </c>
      <c r="I76" t="s">
        <v>63</v>
      </c>
      <c r="J76">
        <v>5</v>
      </c>
      <c r="K76" t="str">
        <f>HYPERLINK("Gene1506-zp_tree_all.dnd", "Gene1506-tree")</f>
        <v>Gene1506-tree</v>
      </c>
      <c r="L76">
        <v>4</v>
      </c>
      <c r="M76">
        <v>1</v>
      </c>
      <c r="N76">
        <v>4</v>
      </c>
      <c r="O76">
        <v>1</v>
      </c>
      <c r="P76">
        <v>0.2</v>
      </c>
      <c r="Q76" t="s">
        <v>64</v>
      </c>
      <c r="R76" t="s">
        <v>65</v>
      </c>
      <c r="S76" t="s">
        <v>66</v>
      </c>
      <c r="T76" t="s">
        <v>66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5</v>
      </c>
      <c r="AJ76">
        <v>2</v>
      </c>
      <c r="AK76">
        <v>8</v>
      </c>
      <c r="AL76">
        <v>1</v>
      </c>
      <c r="AM76">
        <v>5</v>
      </c>
      <c r="AN76">
        <v>2</v>
      </c>
      <c r="AO76" t="s">
        <v>1507</v>
      </c>
      <c r="AP76" t="s">
        <v>1508</v>
      </c>
      <c r="AQ76">
        <v>0.58799999999999997</v>
      </c>
      <c r="AR76" t="s">
        <v>69</v>
      </c>
      <c r="AS76">
        <v>13</v>
      </c>
      <c r="AT76">
        <v>3</v>
      </c>
      <c r="AU76">
        <v>4.1939999999999998E-2</v>
      </c>
      <c r="AV76">
        <v>-4.9199999999999999E-3</v>
      </c>
      <c r="AW76">
        <v>0.17891000000000001</v>
      </c>
      <c r="AX76">
        <v>-2.648E-2</v>
      </c>
      <c r="AY76">
        <v>1.106E-2</v>
      </c>
      <c r="AZ76">
        <v>-1.9400000000000001E-3</v>
      </c>
      <c r="BA76">
        <v>6.1839999999999999E-2</v>
      </c>
      <c r="BB76">
        <v>1</v>
      </c>
      <c r="BC76" t="s">
        <v>70</v>
      </c>
      <c r="BD76">
        <v>0.115</v>
      </c>
      <c r="BE76">
        <v>0.115</v>
      </c>
      <c r="BF76" t="s">
        <v>139</v>
      </c>
      <c r="BG76">
        <v>-0.11688311688311601</v>
      </c>
      <c r="BI76">
        <v>6.1839999999999999E-2</v>
      </c>
      <c r="BJ76">
        <v>-0.11688311688311601</v>
      </c>
    </row>
    <row r="77" spans="1:62">
      <c r="A77">
        <v>3185</v>
      </c>
      <c r="B77" t="s">
        <v>3159</v>
      </c>
      <c r="D77" t="s">
        <v>60</v>
      </c>
      <c r="E77">
        <v>3218525</v>
      </c>
      <c r="F77">
        <v>3218854</v>
      </c>
      <c r="G77" t="s">
        <v>3161</v>
      </c>
      <c r="H77">
        <v>110</v>
      </c>
      <c r="I77" t="s">
        <v>85</v>
      </c>
      <c r="J77">
        <v>4</v>
      </c>
      <c r="K77" t="str">
        <f>HYPERLINK("Gene3185-zp_tree_all.dnd", "Gene3185-tree")</f>
        <v>Gene3185-tree</v>
      </c>
      <c r="L77">
        <v>3</v>
      </c>
      <c r="M77">
        <v>1</v>
      </c>
      <c r="N77">
        <v>3</v>
      </c>
      <c r="O77">
        <v>1</v>
      </c>
      <c r="P77">
        <v>0.25</v>
      </c>
      <c r="Q77" t="s">
        <v>86</v>
      </c>
      <c r="R77" t="s">
        <v>65</v>
      </c>
      <c r="S77" t="s">
        <v>66</v>
      </c>
      <c r="T77" t="s">
        <v>66</v>
      </c>
      <c r="U77">
        <v>0</v>
      </c>
      <c r="V77">
        <v>0</v>
      </c>
      <c r="W77">
        <v>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3</v>
      </c>
      <c r="AH77">
        <v>0</v>
      </c>
      <c r="AI77">
        <v>4</v>
      </c>
      <c r="AJ77">
        <v>0</v>
      </c>
      <c r="AK77">
        <v>11</v>
      </c>
      <c r="AL77">
        <v>3</v>
      </c>
      <c r="AM77">
        <v>0</v>
      </c>
      <c r="AN77">
        <v>0</v>
      </c>
      <c r="AO77" t="s">
        <v>3162</v>
      </c>
      <c r="AP77" t="s">
        <v>68</v>
      </c>
      <c r="AQ77">
        <v>0.46600000000000003</v>
      </c>
      <c r="AR77" t="s">
        <v>69</v>
      </c>
      <c r="AS77">
        <v>11</v>
      </c>
      <c r="AT77">
        <v>3</v>
      </c>
      <c r="AU77">
        <v>2.0709999999999999E-2</v>
      </c>
      <c r="AV77">
        <v>-5.9899999999999997E-3</v>
      </c>
      <c r="AW77">
        <v>9.1700000000000004E-2</v>
      </c>
      <c r="AX77">
        <v>-2.4410000000000001E-2</v>
      </c>
      <c r="AY77">
        <v>5.6699999999999997E-3</v>
      </c>
      <c r="AZ77">
        <v>-2.31E-3</v>
      </c>
      <c r="BA77">
        <v>6.1800000000000001E-2</v>
      </c>
      <c r="BB77">
        <v>1</v>
      </c>
      <c r="BC77" t="s">
        <v>70</v>
      </c>
      <c r="BD77">
        <v>-0.36699999999999999</v>
      </c>
      <c r="BE77">
        <v>-1.081</v>
      </c>
      <c r="BF77" t="s">
        <v>139</v>
      </c>
      <c r="BG77">
        <v>-0.25190839694656397</v>
      </c>
      <c r="BI77">
        <v>6.1800000000000001E-2</v>
      </c>
      <c r="BJ77">
        <v>-0.25190839694656397</v>
      </c>
    </row>
    <row r="78" spans="1:62">
      <c r="A78">
        <v>858</v>
      </c>
      <c r="B78" t="s">
        <v>983</v>
      </c>
      <c r="D78" t="s">
        <v>66</v>
      </c>
      <c r="E78">
        <v>924213</v>
      </c>
      <c r="F78">
        <v>924401</v>
      </c>
      <c r="G78" t="s">
        <v>74</v>
      </c>
      <c r="H78">
        <v>63</v>
      </c>
      <c r="I78" t="s">
        <v>63</v>
      </c>
      <c r="J78">
        <v>5</v>
      </c>
      <c r="K78" t="str">
        <f>HYPERLINK("Gene858-zp_tree_all.dnd", "Gene858-tree")</f>
        <v>Gene858-tree</v>
      </c>
      <c r="L78">
        <v>3</v>
      </c>
      <c r="M78">
        <v>2</v>
      </c>
      <c r="N78">
        <v>3</v>
      </c>
      <c r="O78">
        <v>2</v>
      </c>
      <c r="P78">
        <v>0.4</v>
      </c>
      <c r="Q78" t="s">
        <v>86</v>
      </c>
      <c r="R78" t="s">
        <v>124</v>
      </c>
      <c r="S78" t="s">
        <v>66</v>
      </c>
      <c r="T78" t="s">
        <v>66</v>
      </c>
      <c r="U78">
        <v>0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2</v>
      </c>
      <c r="AH78">
        <v>0</v>
      </c>
      <c r="AI78">
        <v>3</v>
      </c>
      <c r="AJ78">
        <v>1</v>
      </c>
      <c r="AK78">
        <v>2</v>
      </c>
      <c r="AL78">
        <v>1</v>
      </c>
      <c r="AM78">
        <v>5</v>
      </c>
      <c r="AN78">
        <v>1</v>
      </c>
      <c r="AO78" t="s">
        <v>985</v>
      </c>
      <c r="AP78" t="s">
        <v>986</v>
      </c>
      <c r="AQ78">
        <v>0.437</v>
      </c>
      <c r="AR78" t="s">
        <v>69</v>
      </c>
      <c r="AS78">
        <v>7</v>
      </c>
      <c r="AT78">
        <v>2</v>
      </c>
      <c r="AU78">
        <v>2.623E-2</v>
      </c>
      <c r="AV78">
        <v>-5.11E-3</v>
      </c>
      <c r="AW78">
        <v>0.11264</v>
      </c>
      <c r="AX78">
        <v>-1.967E-2</v>
      </c>
      <c r="AY78">
        <v>6.9199999999999999E-3</v>
      </c>
      <c r="AZ78">
        <v>-1.6999999999999999E-3</v>
      </c>
      <c r="BA78">
        <v>6.1420000000000002E-2</v>
      </c>
      <c r="BB78">
        <v>0.98899999999999999</v>
      </c>
      <c r="BC78" t="s">
        <v>70</v>
      </c>
      <c r="BD78">
        <v>0.79</v>
      </c>
      <c r="BE78">
        <v>0.79</v>
      </c>
      <c r="BF78" t="s">
        <v>139</v>
      </c>
      <c r="BG78">
        <v>0</v>
      </c>
      <c r="BI78">
        <v>6.1420000000000002E-2</v>
      </c>
      <c r="BJ78">
        <v>0</v>
      </c>
    </row>
    <row r="79" spans="1:62">
      <c r="A79">
        <v>2244</v>
      </c>
      <c r="B79" t="s">
        <v>2161</v>
      </c>
      <c r="D79" t="s">
        <v>60</v>
      </c>
      <c r="E79">
        <v>2309730</v>
      </c>
      <c r="F79">
        <v>2310416</v>
      </c>
      <c r="G79" t="s">
        <v>74</v>
      </c>
      <c r="H79">
        <v>229</v>
      </c>
      <c r="I79" t="s">
        <v>63</v>
      </c>
      <c r="J79">
        <v>5</v>
      </c>
      <c r="K79" t="str">
        <f>HYPERLINK("Gene2244-zp_tree_all.dnd", "Gene2244-tree")</f>
        <v>Gene2244-tree</v>
      </c>
      <c r="L79">
        <v>4</v>
      </c>
      <c r="M79">
        <v>1</v>
      </c>
      <c r="N79">
        <v>4</v>
      </c>
      <c r="O79">
        <v>1</v>
      </c>
      <c r="P79">
        <v>0.2</v>
      </c>
      <c r="Q79" t="s">
        <v>64</v>
      </c>
      <c r="R79" t="s">
        <v>65</v>
      </c>
      <c r="S79" t="s">
        <v>66</v>
      </c>
      <c r="T79" t="s">
        <v>66</v>
      </c>
      <c r="U79">
        <v>1</v>
      </c>
      <c r="V79">
        <v>2</v>
      </c>
      <c r="W79">
        <v>5</v>
      </c>
      <c r="X79">
        <v>0.28571000000000002</v>
      </c>
      <c r="Y79">
        <v>0</v>
      </c>
      <c r="Z79">
        <v>0</v>
      </c>
      <c r="AA79">
        <v>0</v>
      </c>
      <c r="AB79">
        <v>5</v>
      </c>
      <c r="AC79">
        <v>0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5</v>
      </c>
      <c r="AJ79">
        <v>2</v>
      </c>
      <c r="AK79">
        <v>13</v>
      </c>
      <c r="AL79">
        <v>2</v>
      </c>
      <c r="AM79">
        <v>20</v>
      </c>
      <c r="AN79">
        <v>5</v>
      </c>
      <c r="AO79" t="s">
        <v>2163</v>
      </c>
      <c r="AP79" t="s">
        <v>2164</v>
      </c>
      <c r="AQ79">
        <v>0.20399999999999999</v>
      </c>
      <c r="AR79" t="s">
        <v>69</v>
      </c>
      <c r="AS79">
        <v>33</v>
      </c>
      <c r="AT79">
        <v>7</v>
      </c>
      <c r="AU79">
        <v>2.9239999999999999E-2</v>
      </c>
      <c r="AV79">
        <v>-4.9899999999999996E-3</v>
      </c>
      <c r="AW79">
        <v>0.10959000000000001</v>
      </c>
      <c r="AX79">
        <v>-1.925E-2</v>
      </c>
      <c r="AY79">
        <v>6.6100000000000004E-3</v>
      </c>
      <c r="AZ79">
        <v>-1.08E-3</v>
      </c>
      <c r="BA79">
        <v>6.0290000000000003E-2</v>
      </c>
      <c r="BB79">
        <v>1</v>
      </c>
      <c r="BC79" t="s">
        <v>70</v>
      </c>
      <c r="BD79">
        <v>1.181</v>
      </c>
      <c r="BE79">
        <v>0.747</v>
      </c>
      <c r="BF79" t="s">
        <v>139</v>
      </c>
      <c r="BG79">
        <v>-3.4246575342465703E-2</v>
      </c>
      <c r="BI79">
        <v>6.0290000000000003E-2</v>
      </c>
      <c r="BJ79">
        <v>-3.4246575342465703E-2</v>
      </c>
    </row>
    <row r="80" spans="1:62">
      <c r="A80">
        <v>329</v>
      </c>
      <c r="B80" t="s">
        <v>606</v>
      </c>
      <c r="D80" t="s">
        <v>66</v>
      </c>
      <c r="E80">
        <v>355415</v>
      </c>
      <c r="F80">
        <v>355732</v>
      </c>
      <c r="G80" t="s">
        <v>608</v>
      </c>
      <c r="H80">
        <v>106</v>
      </c>
      <c r="I80" t="s">
        <v>63</v>
      </c>
      <c r="J80">
        <v>5</v>
      </c>
      <c r="K80" t="str">
        <f>HYPERLINK("Gene329-zp_tree_all.dnd", "Gene329-tree")</f>
        <v>Gene329-tree</v>
      </c>
      <c r="L80">
        <v>4</v>
      </c>
      <c r="M80">
        <v>1</v>
      </c>
      <c r="N80">
        <v>4</v>
      </c>
      <c r="O80">
        <v>1</v>
      </c>
      <c r="P80">
        <v>0.2</v>
      </c>
      <c r="Q80" t="s">
        <v>64</v>
      </c>
      <c r="R80" t="s">
        <v>65</v>
      </c>
      <c r="S80" t="s">
        <v>66</v>
      </c>
      <c r="T80" t="s">
        <v>66</v>
      </c>
      <c r="U80">
        <v>0</v>
      </c>
      <c r="V80">
        <v>0</v>
      </c>
      <c r="W80">
        <v>3</v>
      </c>
      <c r="X80">
        <v>0</v>
      </c>
      <c r="Y80">
        <v>0</v>
      </c>
      <c r="Z80">
        <v>0</v>
      </c>
      <c r="AA80">
        <v>0</v>
      </c>
      <c r="AB80">
        <v>2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5</v>
      </c>
      <c r="AJ80">
        <v>2</v>
      </c>
      <c r="AK80">
        <v>7</v>
      </c>
      <c r="AL80">
        <v>1</v>
      </c>
      <c r="AM80">
        <v>7</v>
      </c>
      <c r="AN80">
        <v>2</v>
      </c>
      <c r="AO80" t="s">
        <v>609</v>
      </c>
      <c r="AP80" t="s">
        <v>610</v>
      </c>
      <c r="AQ80">
        <v>0.39200000000000002</v>
      </c>
      <c r="AR80" t="s">
        <v>69</v>
      </c>
      <c r="AS80">
        <v>14</v>
      </c>
      <c r="AT80">
        <v>3</v>
      </c>
      <c r="AU80">
        <v>2.7040000000000002E-2</v>
      </c>
      <c r="AV80">
        <v>-4.4299999999999999E-3</v>
      </c>
      <c r="AW80">
        <v>0.10897</v>
      </c>
      <c r="AX80">
        <v>-1.89E-2</v>
      </c>
      <c r="AY80">
        <v>6.4999999999999997E-3</v>
      </c>
      <c r="AZ80">
        <v>-1.1800000000000001E-3</v>
      </c>
      <c r="BA80">
        <v>5.9659999999999998E-2</v>
      </c>
      <c r="BB80">
        <v>1</v>
      </c>
      <c r="BC80" t="s">
        <v>70</v>
      </c>
      <c r="BD80">
        <v>0.39600000000000002</v>
      </c>
      <c r="BE80">
        <v>0.39600000000000002</v>
      </c>
      <c r="BF80" t="s">
        <v>139</v>
      </c>
      <c r="BG80">
        <v>-9.0909090909090898E-2</v>
      </c>
      <c r="BI80">
        <v>5.9659999999999998E-2</v>
      </c>
      <c r="BJ80">
        <v>-9.0909090909090898E-2</v>
      </c>
    </row>
    <row r="81" spans="1:62">
      <c r="A81">
        <v>4022</v>
      </c>
      <c r="B81" t="s">
        <v>3983</v>
      </c>
      <c r="D81" t="s">
        <v>60</v>
      </c>
      <c r="E81">
        <v>4067183</v>
      </c>
      <c r="F81">
        <v>4068145</v>
      </c>
      <c r="G81" t="s">
        <v>3985</v>
      </c>
      <c r="H81">
        <v>321</v>
      </c>
      <c r="I81" t="s">
        <v>85</v>
      </c>
      <c r="J81">
        <v>4</v>
      </c>
      <c r="K81" t="str">
        <f>HYPERLINK("Gene4022-zp_tree_all.dnd", "Gene4022-tree")</f>
        <v>Gene4022-tree</v>
      </c>
      <c r="L81">
        <v>1</v>
      </c>
      <c r="M81">
        <v>3</v>
      </c>
      <c r="N81">
        <v>1</v>
      </c>
      <c r="O81">
        <v>3</v>
      </c>
      <c r="P81">
        <v>0.75</v>
      </c>
      <c r="Q81" t="s">
        <v>65</v>
      </c>
      <c r="R81" t="s">
        <v>86</v>
      </c>
      <c r="S81" t="s">
        <v>66</v>
      </c>
      <c r="T81" t="s">
        <v>66</v>
      </c>
      <c r="U81">
        <v>0</v>
      </c>
      <c r="V81">
        <v>0</v>
      </c>
      <c r="W81">
        <v>9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9</v>
      </c>
      <c r="AH81">
        <v>0</v>
      </c>
      <c r="AI81">
        <v>3</v>
      </c>
      <c r="AJ81">
        <v>1</v>
      </c>
      <c r="AK81">
        <v>32</v>
      </c>
      <c r="AL81">
        <v>9</v>
      </c>
      <c r="AM81">
        <v>5</v>
      </c>
      <c r="AN81">
        <v>0</v>
      </c>
      <c r="AO81" t="s">
        <v>3986</v>
      </c>
      <c r="AP81" t="s">
        <v>68</v>
      </c>
      <c r="AQ81">
        <v>1.075</v>
      </c>
      <c r="AR81" t="s">
        <v>69</v>
      </c>
      <c r="AS81">
        <v>37</v>
      </c>
      <c r="AT81">
        <v>9</v>
      </c>
      <c r="AU81">
        <v>2.4830000000000001E-2</v>
      </c>
      <c r="AV81">
        <v>-6.3099999999999996E-3</v>
      </c>
      <c r="AW81">
        <v>0.10219</v>
      </c>
      <c r="AX81">
        <v>-2.7539999999999999E-2</v>
      </c>
      <c r="AY81">
        <v>6.0200000000000002E-3</v>
      </c>
      <c r="AZ81">
        <v>-1.4400000000000001E-3</v>
      </c>
      <c r="BA81">
        <v>5.8889999999999998E-2</v>
      </c>
      <c r="BB81">
        <v>1</v>
      </c>
      <c r="BC81" t="s">
        <v>70</v>
      </c>
      <c r="BD81">
        <v>-0.52100000000000002</v>
      </c>
      <c r="BE81">
        <v>-0.52100000000000002</v>
      </c>
      <c r="BF81" t="s">
        <v>139</v>
      </c>
      <c r="BG81">
        <v>-5.9952038369304503E-2</v>
      </c>
      <c r="BI81">
        <v>5.8889999999999998E-2</v>
      </c>
      <c r="BJ81">
        <v>-5.9952038369304503E-2</v>
      </c>
    </row>
    <row r="82" spans="1:62">
      <c r="A82">
        <v>782</v>
      </c>
      <c r="B82" t="s">
        <v>965</v>
      </c>
      <c r="D82" t="s">
        <v>66</v>
      </c>
      <c r="E82">
        <v>842050</v>
      </c>
      <c r="F82">
        <v>843996</v>
      </c>
      <c r="G82" t="s">
        <v>967</v>
      </c>
      <c r="H82">
        <v>649</v>
      </c>
      <c r="I82" t="s">
        <v>63</v>
      </c>
      <c r="J82">
        <v>5</v>
      </c>
      <c r="K82" t="str">
        <f>HYPERLINK("Gene782-zp_tree_all.dnd", "Gene782-tree")</f>
        <v>Gene782-tree</v>
      </c>
      <c r="L82">
        <v>2</v>
      </c>
      <c r="M82">
        <v>3</v>
      </c>
      <c r="N82">
        <v>2</v>
      </c>
      <c r="O82">
        <v>3</v>
      </c>
      <c r="P82">
        <v>0.6</v>
      </c>
      <c r="Q82" t="s">
        <v>124</v>
      </c>
      <c r="R82" t="s">
        <v>86</v>
      </c>
      <c r="S82" t="s">
        <v>66</v>
      </c>
      <c r="T82" t="s">
        <v>66</v>
      </c>
      <c r="U82">
        <v>0</v>
      </c>
      <c r="V82">
        <v>0</v>
      </c>
      <c r="W82">
        <v>18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18</v>
      </c>
      <c r="AH82">
        <v>0</v>
      </c>
      <c r="AI82">
        <v>5</v>
      </c>
      <c r="AJ82">
        <v>2</v>
      </c>
      <c r="AK82">
        <v>54</v>
      </c>
      <c r="AL82">
        <v>8</v>
      </c>
      <c r="AM82">
        <v>48</v>
      </c>
      <c r="AN82">
        <v>12</v>
      </c>
      <c r="AO82" t="s">
        <v>968</v>
      </c>
      <c r="AP82" t="s">
        <v>969</v>
      </c>
      <c r="AQ82">
        <v>0.31900000000000001</v>
      </c>
      <c r="AR82" t="s">
        <v>69</v>
      </c>
      <c r="AS82">
        <v>102</v>
      </c>
      <c r="AT82">
        <v>20</v>
      </c>
      <c r="AU82">
        <v>3.005E-2</v>
      </c>
      <c r="AV82">
        <v>-4.9800000000000001E-3</v>
      </c>
      <c r="AW82">
        <v>0.12203</v>
      </c>
      <c r="AX82">
        <v>-2.0160000000000001E-2</v>
      </c>
      <c r="AY82">
        <v>7.1799999999999998E-3</v>
      </c>
      <c r="AZ82">
        <v>-1.4599999999999999E-3</v>
      </c>
      <c r="BA82">
        <v>5.8840000000000003E-2</v>
      </c>
      <c r="BB82">
        <v>1</v>
      </c>
      <c r="BC82" t="s">
        <v>70</v>
      </c>
      <c r="BD82">
        <v>0.52500000000000002</v>
      </c>
      <c r="BE82">
        <v>0.4</v>
      </c>
      <c r="BF82" t="s">
        <v>139</v>
      </c>
      <c r="BG82">
        <v>2.5578562728380001E-2</v>
      </c>
      <c r="BI82">
        <v>5.8840000000000003E-2</v>
      </c>
      <c r="BJ82">
        <v>2.5578562728380001E-2</v>
      </c>
    </row>
    <row r="83" spans="1:62">
      <c r="A83">
        <v>900</v>
      </c>
      <c r="B83" t="s">
        <v>1025</v>
      </c>
      <c r="D83" t="s">
        <v>66</v>
      </c>
      <c r="E83">
        <v>966674</v>
      </c>
      <c r="F83">
        <v>966871</v>
      </c>
      <c r="G83" t="s">
        <v>242</v>
      </c>
      <c r="H83">
        <v>66</v>
      </c>
      <c r="I83" t="s">
        <v>63</v>
      </c>
      <c r="J83">
        <v>5</v>
      </c>
      <c r="K83" t="str">
        <f>HYPERLINK("Gene900-zp_tree_all.dnd", "Gene900-tree")</f>
        <v>Gene900-tree</v>
      </c>
      <c r="L83">
        <v>3</v>
      </c>
      <c r="M83">
        <v>2</v>
      </c>
      <c r="N83">
        <v>2</v>
      </c>
      <c r="O83">
        <v>2</v>
      </c>
      <c r="P83">
        <v>0.5</v>
      </c>
      <c r="Q83" t="s">
        <v>185</v>
      </c>
      <c r="R83" t="s">
        <v>124</v>
      </c>
      <c r="S83" t="s">
        <v>66</v>
      </c>
      <c r="T83" t="s">
        <v>66</v>
      </c>
      <c r="U83">
        <v>0</v>
      </c>
      <c r="V83">
        <v>0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0</v>
      </c>
      <c r="AI83">
        <v>4</v>
      </c>
      <c r="AJ83">
        <v>1</v>
      </c>
      <c r="AK83">
        <v>5</v>
      </c>
      <c r="AL83">
        <v>2</v>
      </c>
      <c r="AM83">
        <v>3</v>
      </c>
      <c r="AN83">
        <v>0</v>
      </c>
      <c r="AO83" t="s">
        <v>1027</v>
      </c>
      <c r="AP83" t="s">
        <v>68</v>
      </c>
      <c r="AQ83">
        <v>1.776</v>
      </c>
      <c r="AR83" t="s">
        <v>69</v>
      </c>
      <c r="AS83">
        <v>8</v>
      </c>
      <c r="AT83">
        <v>2</v>
      </c>
      <c r="AU83">
        <v>2.7779999999999999E-2</v>
      </c>
      <c r="AV83">
        <v>-3.5200000000000001E-3</v>
      </c>
      <c r="AW83">
        <v>0.11166</v>
      </c>
      <c r="AX83">
        <v>-1.6E-2</v>
      </c>
      <c r="AY83">
        <v>6.5199999999999998E-3</v>
      </c>
      <c r="AZ83">
        <v>-1.09E-3</v>
      </c>
      <c r="BA83">
        <v>5.8400000000000001E-2</v>
      </c>
      <c r="BB83">
        <v>1</v>
      </c>
      <c r="BC83" t="s">
        <v>70</v>
      </c>
      <c r="BD83">
        <v>0</v>
      </c>
      <c r="BE83">
        <v>0</v>
      </c>
      <c r="BF83" t="s">
        <v>139</v>
      </c>
      <c r="BG83">
        <v>-0.16853932584269599</v>
      </c>
      <c r="BI83">
        <v>5.8400000000000001E-2</v>
      </c>
      <c r="BJ83">
        <v>-0.16853932584269599</v>
      </c>
    </row>
    <row r="84" spans="1:62">
      <c r="A84">
        <v>2279</v>
      </c>
      <c r="B84" t="s">
        <v>2183</v>
      </c>
      <c r="D84" t="s">
        <v>60</v>
      </c>
      <c r="E84">
        <v>2340802</v>
      </c>
      <c r="F84">
        <v>2341419</v>
      </c>
      <c r="G84" t="s">
        <v>2185</v>
      </c>
      <c r="H84">
        <v>206</v>
      </c>
      <c r="I84" t="s">
        <v>63</v>
      </c>
      <c r="J84">
        <v>5</v>
      </c>
      <c r="K84" t="str">
        <f>HYPERLINK("Gene2279-zp_tree_all.dnd", "Gene2279-tree")</f>
        <v>Gene2279-tree</v>
      </c>
      <c r="L84">
        <v>2</v>
      </c>
      <c r="M84">
        <v>3</v>
      </c>
      <c r="N84">
        <v>2</v>
      </c>
      <c r="O84">
        <v>3</v>
      </c>
      <c r="P84">
        <v>0.6</v>
      </c>
      <c r="Q84" t="s">
        <v>124</v>
      </c>
      <c r="R84" t="s">
        <v>86</v>
      </c>
      <c r="S84" t="s">
        <v>66</v>
      </c>
      <c r="T84" t="s">
        <v>66</v>
      </c>
      <c r="U84">
        <v>0</v>
      </c>
      <c r="V84">
        <v>0</v>
      </c>
      <c r="W84">
        <v>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5</v>
      </c>
      <c r="AH84">
        <v>0</v>
      </c>
      <c r="AI84">
        <v>4</v>
      </c>
      <c r="AJ84">
        <v>2</v>
      </c>
      <c r="AK84">
        <v>9</v>
      </c>
      <c r="AL84">
        <v>3</v>
      </c>
      <c r="AM84">
        <v>12</v>
      </c>
      <c r="AN84">
        <v>2</v>
      </c>
      <c r="AO84" t="s">
        <v>2186</v>
      </c>
      <c r="AP84" t="s">
        <v>2187</v>
      </c>
      <c r="AQ84">
        <v>0.65</v>
      </c>
      <c r="AR84" t="s">
        <v>69</v>
      </c>
      <c r="AS84">
        <v>21</v>
      </c>
      <c r="AT84">
        <v>5</v>
      </c>
      <c r="AU84">
        <v>2.1360000000000001E-2</v>
      </c>
      <c r="AV84">
        <v>-4.0299999999999997E-3</v>
      </c>
      <c r="AW84">
        <v>8.5860000000000006E-2</v>
      </c>
      <c r="AX84">
        <v>-1.7069999999999998E-2</v>
      </c>
      <c r="AY84">
        <v>5.0000000000000001E-3</v>
      </c>
      <c r="AZ84">
        <v>-8.4999999999999995E-4</v>
      </c>
      <c r="BA84">
        <v>5.8250000000000003E-2</v>
      </c>
      <c r="BB84">
        <v>1</v>
      </c>
      <c r="BC84" t="s">
        <v>70</v>
      </c>
      <c r="BD84">
        <v>0.43</v>
      </c>
      <c r="BE84">
        <v>0.43</v>
      </c>
      <c r="BF84" t="s">
        <v>139</v>
      </c>
      <c r="BG84">
        <v>-8.4033613445378096E-3</v>
      </c>
      <c r="BI84">
        <v>5.8250000000000003E-2</v>
      </c>
      <c r="BJ84">
        <v>-8.4033613445378096E-3</v>
      </c>
    </row>
    <row r="85" spans="1:62">
      <c r="A85">
        <v>3273</v>
      </c>
      <c r="B85" t="s">
        <v>3269</v>
      </c>
      <c r="D85" t="s">
        <v>60</v>
      </c>
      <c r="E85">
        <v>3308867</v>
      </c>
      <c r="F85">
        <v>3309931</v>
      </c>
      <c r="G85" t="s">
        <v>3271</v>
      </c>
      <c r="H85">
        <v>355</v>
      </c>
      <c r="I85" t="s">
        <v>63</v>
      </c>
      <c r="J85">
        <v>5</v>
      </c>
      <c r="K85" t="str">
        <f>HYPERLINK("Gene3273-zp_tree_all.dnd", "Gene3273-tree")</f>
        <v>Gene3273-tree</v>
      </c>
      <c r="L85">
        <v>1</v>
      </c>
      <c r="M85">
        <v>4</v>
      </c>
      <c r="N85">
        <v>1</v>
      </c>
      <c r="O85">
        <v>4</v>
      </c>
      <c r="P85">
        <v>0.8</v>
      </c>
      <c r="Q85" t="s">
        <v>65</v>
      </c>
      <c r="R85" t="s">
        <v>64</v>
      </c>
      <c r="S85" t="s">
        <v>66</v>
      </c>
      <c r="T85" t="s">
        <v>66</v>
      </c>
      <c r="U85">
        <v>0</v>
      </c>
      <c r="V85">
        <v>0</v>
      </c>
      <c r="W85">
        <v>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9</v>
      </c>
      <c r="AH85">
        <v>0</v>
      </c>
      <c r="AI85">
        <v>5</v>
      </c>
      <c r="AJ85">
        <v>2</v>
      </c>
      <c r="AK85">
        <v>25</v>
      </c>
      <c r="AL85">
        <v>5</v>
      </c>
      <c r="AM85">
        <v>24</v>
      </c>
      <c r="AN85">
        <v>5</v>
      </c>
      <c r="AO85" t="s">
        <v>3272</v>
      </c>
      <c r="AP85" t="s">
        <v>3273</v>
      </c>
      <c r="AQ85">
        <v>5.0000000000000001E-3</v>
      </c>
      <c r="AR85" t="s">
        <v>69</v>
      </c>
      <c r="AS85">
        <v>49</v>
      </c>
      <c r="AT85">
        <v>10</v>
      </c>
      <c r="AU85">
        <v>2.7320000000000001E-2</v>
      </c>
      <c r="AV85">
        <v>-4.8599999999999997E-3</v>
      </c>
      <c r="AW85">
        <v>0.10634</v>
      </c>
      <c r="AX85">
        <v>-1.975E-2</v>
      </c>
      <c r="AY85">
        <v>6.1599999999999997E-3</v>
      </c>
      <c r="AZ85">
        <v>-1.08E-3</v>
      </c>
      <c r="BA85">
        <v>5.7919999999999999E-2</v>
      </c>
      <c r="BB85">
        <v>1</v>
      </c>
      <c r="BC85" t="s">
        <v>70</v>
      </c>
      <c r="BD85">
        <v>0.34200000000000003</v>
      </c>
      <c r="BE85">
        <v>0.20599999999999999</v>
      </c>
      <c r="BF85" t="s">
        <v>139</v>
      </c>
      <c r="BG85">
        <v>1.9493177387914201E-3</v>
      </c>
      <c r="BI85">
        <v>5.7919999999999999E-2</v>
      </c>
      <c r="BJ85">
        <v>1.9493177387914201E-3</v>
      </c>
    </row>
    <row r="86" spans="1:62">
      <c r="A86">
        <v>3019</v>
      </c>
      <c r="B86" t="s">
        <v>3015</v>
      </c>
      <c r="D86" t="s">
        <v>60</v>
      </c>
      <c r="E86">
        <v>3035730</v>
      </c>
      <c r="F86">
        <v>3036329</v>
      </c>
      <c r="G86" t="s">
        <v>3017</v>
      </c>
      <c r="H86">
        <v>200</v>
      </c>
      <c r="I86" t="s">
        <v>63</v>
      </c>
      <c r="J86">
        <v>5</v>
      </c>
      <c r="K86" t="str">
        <f>HYPERLINK("Gene3019-zp_tree_all.dnd", "Gene3019-tree")</f>
        <v>Gene3019-tree</v>
      </c>
      <c r="L86">
        <v>5</v>
      </c>
      <c r="M86">
        <v>0</v>
      </c>
      <c r="N86">
        <v>5</v>
      </c>
      <c r="O86">
        <v>0</v>
      </c>
      <c r="P86">
        <v>0</v>
      </c>
      <c r="Q86" t="s">
        <v>96</v>
      </c>
      <c r="R86" t="s">
        <v>66</v>
      </c>
      <c r="S86" t="s">
        <v>66</v>
      </c>
      <c r="T86" t="s">
        <v>66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4</v>
      </c>
      <c r="AJ86">
        <v>2</v>
      </c>
      <c r="AK86">
        <v>4</v>
      </c>
      <c r="AL86">
        <v>0</v>
      </c>
      <c r="AM86">
        <v>3</v>
      </c>
      <c r="AN86">
        <v>1</v>
      </c>
      <c r="AO86" t="s">
        <v>68</v>
      </c>
      <c r="AP86" t="s">
        <v>3018</v>
      </c>
      <c r="AQ86">
        <v>1.2709999999999999</v>
      </c>
      <c r="AR86" t="s">
        <v>69</v>
      </c>
      <c r="AS86">
        <v>7</v>
      </c>
      <c r="AT86">
        <v>1</v>
      </c>
      <c r="AU86">
        <v>6.6699999999999997E-3</v>
      </c>
      <c r="AV86">
        <v>-9.1E-4</v>
      </c>
      <c r="AW86">
        <v>2.3730000000000001E-2</v>
      </c>
      <c r="AX86">
        <v>-2.8600000000000001E-3</v>
      </c>
      <c r="AY86">
        <v>1.32E-3</v>
      </c>
      <c r="AZ86">
        <v>-3.1E-4</v>
      </c>
      <c r="BA86">
        <v>5.5750000000000001E-2</v>
      </c>
      <c r="BB86">
        <v>1</v>
      </c>
      <c r="BC86" t="s">
        <v>70</v>
      </c>
      <c r="BD86">
        <v>0.29399999999999998</v>
      </c>
      <c r="BE86">
        <v>0.29399999999999998</v>
      </c>
      <c r="BF86" t="s">
        <v>139</v>
      </c>
      <c r="BG86">
        <v>7.8651685393258397E-2</v>
      </c>
      <c r="BI86">
        <v>5.5750000000000001E-2</v>
      </c>
      <c r="BJ86">
        <v>7.8651685393258397E-2</v>
      </c>
    </row>
    <row r="87" spans="1:62">
      <c r="A87">
        <v>3040</v>
      </c>
      <c r="B87" t="s">
        <v>3056</v>
      </c>
      <c r="D87" t="s">
        <v>60</v>
      </c>
      <c r="E87">
        <v>3056479</v>
      </c>
      <c r="F87">
        <v>3056793</v>
      </c>
      <c r="G87" t="s">
        <v>74</v>
      </c>
      <c r="H87">
        <v>105</v>
      </c>
      <c r="I87" t="s">
        <v>106</v>
      </c>
      <c r="J87">
        <v>4</v>
      </c>
      <c r="K87" t="str">
        <f>HYPERLINK("Gene3040-zp_tree_all.dnd", "Gene3040-tree")</f>
        <v>Gene3040-tree</v>
      </c>
      <c r="L87">
        <v>3</v>
      </c>
      <c r="M87">
        <v>1</v>
      </c>
      <c r="N87">
        <v>3</v>
      </c>
      <c r="O87">
        <v>1</v>
      </c>
      <c r="P87">
        <v>0.25</v>
      </c>
      <c r="Q87" t="s">
        <v>86</v>
      </c>
      <c r="R87" t="s">
        <v>65</v>
      </c>
      <c r="S87" t="s">
        <v>66</v>
      </c>
      <c r="T87" t="s">
        <v>66</v>
      </c>
      <c r="U87">
        <v>0</v>
      </c>
      <c r="V87">
        <v>0</v>
      </c>
      <c r="W87">
        <v>2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3</v>
      </c>
      <c r="AJ87">
        <v>1</v>
      </c>
      <c r="AK87">
        <v>13</v>
      </c>
      <c r="AL87">
        <v>1</v>
      </c>
      <c r="AM87">
        <v>0</v>
      </c>
      <c r="AN87">
        <v>1</v>
      </c>
      <c r="AO87" t="s">
        <v>3058</v>
      </c>
      <c r="AP87" t="s">
        <v>68</v>
      </c>
      <c r="AQ87">
        <v>0.53500000000000003</v>
      </c>
      <c r="AR87" t="s">
        <v>69</v>
      </c>
      <c r="AS87">
        <v>13</v>
      </c>
      <c r="AT87">
        <v>2</v>
      </c>
      <c r="AU87">
        <v>2.4340000000000001E-2</v>
      </c>
      <c r="AV87">
        <v>-7.3899999999999999E-3</v>
      </c>
      <c r="AW87">
        <v>9.264E-2</v>
      </c>
      <c r="AX87">
        <v>-3.0839999999999999E-2</v>
      </c>
      <c r="AY87">
        <v>4.9399999999999999E-3</v>
      </c>
      <c r="AZ87">
        <v>-1.1900000000000001E-3</v>
      </c>
      <c r="BA87">
        <v>5.3280000000000001E-2</v>
      </c>
      <c r="BB87">
        <v>1</v>
      </c>
      <c r="BC87" t="s">
        <v>70</v>
      </c>
      <c r="BD87">
        <v>-0.64</v>
      </c>
      <c r="BE87">
        <v>-0.64</v>
      </c>
      <c r="BF87" t="s">
        <v>139</v>
      </c>
      <c r="BG87">
        <v>-0.14074074074074</v>
      </c>
      <c r="BI87">
        <v>5.3280000000000001E-2</v>
      </c>
      <c r="BJ87">
        <v>-0.14074074074074</v>
      </c>
    </row>
    <row r="88" spans="1:62">
      <c r="A88">
        <v>3902</v>
      </c>
      <c r="B88" t="s">
        <v>3864</v>
      </c>
      <c r="D88" t="s">
        <v>60</v>
      </c>
      <c r="E88">
        <v>3943667</v>
      </c>
      <c r="F88">
        <v>3944506</v>
      </c>
      <c r="G88" t="s">
        <v>3866</v>
      </c>
      <c r="H88">
        <v>280</v>
      </c>
      <c r="I88" t="s">
        <v>63</v>
      </c>
      <c r="J88">
        <v>5</v>
      </c>
      <c r="K88" t="str">
        <f>HYPERLINK("Gene3902-zp_tree_all.dnd", "Gene3902-tree")</f>
        <v>Gene3902-tree</v>
      </c>
      <c r="L88">
        <v>2</v>
      </c>
      <c r="M88">
        <v>3</v>
      </c>
      <c r="N88">
        <v>2</v>
      </c>
      <c r="O88">
        <v>3</v>
      </c>
      <c r="P88">
        <v>0.6</v>
      </c>
      <c r="Q88" t="s">
        <v>124</v>
      </c>
      <c r="R88" t="s">
        <v>86</v>
      </c>
      <c r="S88" t="s">
        <v>66</v>
      </c>
      <c r="T88" t="s">
        <v>66</v>
      </c>
      <c r="U88">
        <v>0</v>
      </c>
      <c r="V88">
        <v>0</v>
      </c>
      <c r="W88">
        <v>11</v>
      </c>
      <c r="X88">
        <v>0</v>
      </c>
      <c r="Y88">
        <v>0</v>
      </c>
      <c r="Z88">
        <v>0</v>
      </c>
      <c r="AA88">
        <v>0</v>
      </c>
      <c r="AB88">
        <v>5</v>
      </c>
      <c r="AC88">
        <v>0</v>
      </c>
      <c r="AD88">
        <v>0</v>
      </c>
      <c r="AE88">
        <v>0</v>
      </c>
      <c r="AF88">
        <v>0</v>
      </c>
      <c r="AG88">
        <v>6</v>
      </c>
      <c r="AH88">
        <v>0</v>
      </c>
      <c r="AI88">
        <v>5</v>
      </c>
      <c r="AJ88">
        <v>2</v>
      </c>
      <c r="AK88">
        <v>21</v>
      </c>
      <c r="AL88">
        <v>6</v>
      </c>
      <c r="AM88">
        <v>28</v>
      </c>
      <c r="AN88">
        <v>5</v>
      </c>
      <c r="AO88" t="s">
        <v>3867</v>
      </c>
      <c r="AP88" t="s">
        <v>3868</v>
      </c>
      <c r="AQ88">
        <v>0.55100000000000005</v>
      </c>
      <c r="AR88" t="s">
        <v>69</v>
      </c>
      <c r="AS88">
        <v>49</v>
      </c>
      <c r="AT88">
        <v>11</v>
      </c>
      <c r="AU88">
        <v>3.5830000000000001E-2</v>
      </c>
      <c r="AV88">
        <v>-5.3499999999999997E-3</v>
      </c>
      <c r="AW88">
        <v>0.16009999999999999</v>
      </c>
      <c r="AX88">
        <v>-2.819E-2</v>
      </c>
      <c r="AY88">
        <v>8.1899999999999994E-3</v>
      </c>
      <c r="AZ88">
        <v>-1.1199999999999999E-3</v>
      </c>
      <c r="BA88">
        <v>5.1180000000000003E-2</v>
      </c>
      <c r="BB88">
        <v>1</v>
      </c>
      <c r="BC88" t="s">
        <v>70</v>
      </c>
      <c r="BD88">
        <v>0.61399999999999999</v>
      </c>
      <c r="BE88">
        <v>0.36899999999999999</v>
      </c>
      <c r="BF88" t="s">
        <v>139</v>
      </c>
      <c r="BG88">
        <v>1.4836795252225501E-2</v>
      </c>
      <c r="BI88">
        <v>5.1180000000000003E-2</v>
      </c>
      <c r="BJ88">
        <v>1.4836795252225501E-2</v>
      </c>
    </row>
    <row r="89" spans="1:62">
      <c r="A89">
        <v>324</v>
      </c>
      <c r="B89" t="s">
        <v>602</v>
      </c>
      <c r="D89" t="s">
        <v>66</v>
      </c>
      <c r="E89">
        <v>349999</v>
      </c>
      <c r="F89">
        <v>350853</v>
      </c>
      <c r="G89" t="s">
        <v>74</v>
      </c>
      <c r="H89">
        <v>285</v>
      </c>
      <c r="I89" t="s">
        <v>63</v>
      </c>
      <c r="J89">
        <v>5</v>
      </c>
      <c r="K89" t="str">
        <f>HYPERLINK("Gene324-zp_tree_all.dnd", "Gene324-tree")</f>
        <v>Gene324-tree</v>
      </c>
      <c r="L89">
        <v>2</v>
      </c>
      <c r="M89">
        <v>3</v>
      </c>
      <c r="N89">
        <v>2</v>
      </c>
      <c r="O89">
        <v>3</v>
      </c>
      <c r="P89">
        <v>0.6</v>
      </c>
      <c r="Q89" t="s">
        <v>124</v>
      </c>
      <c r="R89" t="s">
        <v>86</v>
      </c>
      <c r="S89" t="s">
        <v>66</v>
      </c>
      <c r="T89" t="s">
        <v>66</v>
      </c>
      <c r="U89">
        <v>1</v>
      </c>
      <c r="V89">
        <v>2</v>
      </c>
      <c r="W89">
        <v>10</v>
      </c>
      <c r="X89">
        <v>0.16667000000000001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</v>
      </c>
      <c r="AE89">
        <v>0</v>
      </c>
      <c r="AF89">
        <v>2</v>
      </c>
      <c r="AG89">
        <v>10</v>
      </c>
      <c r="AH89">
        <v>0.16667000000000001</v>
      </c>
      <c r="AI89">
        <v>5</v>
      </c>
      <c r="AJ89">
        <v>2</v>
      </c>
      <c r="AK89">
        <v>38</v>
      </c>
      <c r="AL89">
        <v>7</v>
      </c>
      <c r="AM89">
        <v>22</v>
      </c>
      <c r="AN89">
        <v>5</v>
      </c>
      <c r="AO89" t="s">
        <v>604</v>
      </c>
      <c r="AP89" t="s">
        <v>605</v>
      </c>
      <c r="AQ89">
        <v>0.14199999999999999</v>
      </c>
      <c r="AR89" t="s">
        <v>69</v>
      </c>
      <c r="AS89">
        <v>60</v>
      </c>
      <c r="AT89">
        <v>12</v>
      </c>
      <c r="AU89">
        <v>3.8150000000000003E-2</v>
      </c>
      <c r="AV89">
        <v>-5.3E-3</v>
      </c>
      <c r="AW89">
        <v>0.16202</v>
      </c>
      <c r="AX89">
        <v>-2.3730000000000001E-2</v>
      </c>
      <c r="AY89">
        <v>8.2100000000000003E-3</v>
      </c>
      <c r="AZ89">
        <v>-1.2999999999999999E-3</v>
      </c>
      <c r="BA89">
        <v>5.0689999999999999E-2</v>
      </c>
      <c r="BB89">
        <v>1</v>
      </c>
      <c r="BC89" t="s">
        <v>70</v>
      </c>
      <c r="BD89">
        <v>0.19600000000000001</v>
      </c>
      <c r="BE89">
        <v>7.5999999999999998E-2</v>
      </c>
      <c r="BF89" t="s">
        <v>139</v>
      </c>
      <c r="BG89">
        <v>3.1161473087818602E-2</v>
      </c>
      <c r="BI89">
        <v>5.0689999999999999E-2</v>
      </c>
      <c r="BJ89">
        <v>3.1161473087818602E-2</v>
      </c>
    </row>
    <row r="90" spans="1:62">
      <c r="A90">
        <v>3219</v>
      </c>
      <c r="B90" t="s">
        <v>3208</v>
      </c>
      <c r="D90" t="s">
        <v>60</v>
      </c>
      <c r="E90">
        <v>3251724</v>
      </c>
      <c r="F90">
        <v>3252005</v>
      </c>
      <c r="G90" t="s">
        <v>3210</v>
      </c>
      <c r="H90">
        <v>94</v>
      </c>
      <c r="I90" t="s">
        <v>63</v>
      </c>
      <c r="J90">
        <v>5</v>
      </c>
      <c r="K90" t="str">
        <f>HYPERLINK("Gene3219-zp_tree_all.dnd", "Gene3219-tree")</f>
        <v>Gene3219-tree</v>
      </c>
      <c r="L90">
        <v>3</v>
      </c>
      <c r="M90">
        <v>2</v>
      </c>
      <c r="N90">
        <v>3</v>
      </c>
      <c r="O90">
        <v>2</v>
      </c>
      <c r="P90">
        <v>0.4</v>
      </c>
      <c r="Q90" t="s">
        <v>86</v>
      </c>
      <c r="R90" t="s">
        <v>124</v>
      </c>
      <c r="S90" t="s">
        <v>66</v>
      </c>
      <c r="T90" t="s">
        <v>66</v>
      </c>
      <c r="U90">
        <v>0</v>
      </c>
      <c r="V90">
        <v>0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</v>
      </c>
      <c r="AH90">
        <v>0</v>
      </c>
      <c r="AI90">
        <v>3</v>
      </c>
      <c r="AJ90">
        <v>2</v>
      </c>
      <c r="AK90">
        <v>6</v>
      </c>
      <c r="AL90">
        <v>1</v>
      </c>
      <c r="AM90">
        <v>7</v>
      </c>
      <c r="AN90">
        <v>1</v>
      </c>
      <c r="AO90" t="s">
        <v>3211</v>
      </c>
      <c r="AP90" t="s">
        <v>3212</v>
      </c>
      <c r="AQ90">
        <v>9.4E-2</v>
      </c>
      <c r="AR90" t="s">
        <v>69</v>
      </c>
      <c r="AS90">
        <v>13</v>
      </c>
      <c r="AT90">
        <v>2</v>
      </c>
      <c r="AU90">
        <v>2.6950000000000002E-2</v>
      </c>
      <c r="AV90">
        <v>-4.7099999999999998E-3</v>
      </c>
      <c r="AW90">
        <v>9.8900000000000002E-2</v>
      </c>
      <c r="AX90">
        <v>-1.7299999999999999E-2</v>
      </c>
      <c r="AY90">
        <v>4.7999999999999996E-3</v>
      </c>
      <c r="AZ90">
        <v>-1.1800000000000001E-3</v>
      </c>
      <c r="BA90">
        <v>4.854E-2</v>
      </c>
      <c r="BB90">
        <v>1</v>
      </c>
      <c r="BC90" t="s">
        <v>70</v>
      </c>
      <c r="BD90">
        <v>0.40600000000000003</v>
      </c>
      <c r="BE90">
        <v>0.40600000000000003</v>
      </c>
      <c r="BF90" t="s">
        <v>139</v>
      </c>
      <c r="BG90">
        <v>-7.8125E-2</v>
      </c>
      <c r="BI90">
        <v>4.854E-2</v>
      </c>
      <c r="BJ90">
        <v>-7.8125E-2</v>
      </c>
    </row>
    <row r="91" spans="1:62">
      <c r="A91">
        <v>2977</v>
      </c>
      <c r="B91" t="s">
        <v>2970</v>
      </c>
      <c r="D91" t="s">
        <v>60</v>
      </c>
      <c r="E91">
        <v>2995699</v>
      </c>
      <c r="F91">
        <v>2995887</v>
      </c>
      <c r="G91" t="s">
        <v>74</v>
      </c>
      <c r="H91">
        <v>63</v>
      </c>
      <c r="I91" t="s">
        <v>63</v>
      </c>
      <c r="J91">
        <v>5</v>
      </c>
      <c r="K91" t="str">
        <f>HYPERLINK("Gene2977-zp_tree_all.dnd", "Gene2977-tree")</f>
        <v>Gene2977-tree</v>
      </c>
      <c r="L91">
        <v>5</v>
      </c>
      <c r="M91">
        <v>0</v>
      </c>
      <c r="N91">
        <v>4</v>
      </c>
      <c r="O91">
        <v>0</v>
      </c>
      <c r="P91">
        <v>0</v>
      </c>
      <c r="Q91" t="s">
        <v>135</v>
      </c>
      <c r="R91" t="s">
        <v>66</v>
      </c>
      <c r="S91" t="s">
        <v>66</v>
      </c>
      <c r="T91" t="s">
        <v>66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2</v>
      </c>
      <c r="AJ91">
        <v>1</v>
      </c>
      <c r="AK91">
        <v>2</v>
      </c>
      <c r="AL91">
        <v>0</v>
      </c>
      <c r="AM91">
        <v>4</v>
      </c>
      <c r="AN91">
        <v>1</v>
      </c>
      <c r="AO91" t="s">
        <v>68</v>
      </c>
      <c r="AP91" t="s">
        <v>2972</v>
      </c>
      <c r="AQ91">
        <v>0</v>
      </c>
      <c r="AR91" t="s">
        <v>69</v>
      </c>
      <c r="AS91">
        <v>6</v>
      </c>
      <c r="AT91">
        <v>1</v>
      </c>
      <c r="AU91">
        <v>2.2929999999999999E-2</v>
      </c>
      <c r="AV91">
        <v>-5.2399999999999999E-3</v>
      </c>
      <c r="AW91">
        <v>9.5490000000000005E-2</v>
      </c>
      <c r="AX91">
        <v>-2.1600000000000001E-2</v>
      </c>
      <c r="AY91">
        <v>4.5500000000000002E-3</v>
      </c>
      <c r="AZ91">
        <v>-1.07E-3</v>
      </c>
      <c r="BA91">
        <v>4.7600000000000003E-2</v>
      </c>
      <c r="BB91">
        <v>1</v>
      </c>
      <c r="BC91" t="s">
        <v>70</v>
      </c>
      <c r="BD91">
        <v>0.91300000000000003</v>
      </c>
      <c r="BE91">
        <v>0.91300000000000003</v>
      </c>
      <c r="BF91" t="s">
        <v>139</v>
      </c>
      <c r="BG91">
        <v>0.21839080459770099</v>
      </c>
      <c r="BI91">
        <v>4.7600000000000003E-2</v>
      </c>
      <c r="BJ91">
        <v>0.21839080459770099</v>
      </c>
    </row>
    <row r="92" spans="1:62">
      <c r="A92">
        <v>2544</v>
      </c>
      <c r="B92" t="s">
        <v>2508</v>
      </c>
      <c r="D92" t="s">
        <v>60</v>
      </c>
      <c r="E92">
        <v>2576367</v>
      </c>
      <c r="F92">
        <v>2576717</v>
      </c>
      <c r="G92" t="s">
        <v>74</v>
      </c>
      <c r="H92">
        <v>117</v>
      </c>
      <c r="I92" t="s">
        <v>63</v>
      </c>
      <c r="J92">
        <v>5</v>
      </c>
      <c r="K92" t="str">
        <f>HYPERLINK("Gene2544-zp_tree_all.dnd", "Gene2544-tree")</f>
        <v>Gene2544-tree</v>
      </c>
      <c r="L92">
        <v>5</v>
      </c>
      <c r="M92">
        <v>0</v>
      </c>
      <c r="N92">
        <v>5</v>
      </c>
      <c r="O92">
        <v>0</v>
      </c>
      <c r="P92">
        <v>0</v>
      </c>
      <c r="Q92" t="s">
        <v>96</v>
      </c>
      <c r="R92" t="s">
        <v>66</v>
      </c>
      <c r="S92" t="s">
        <v>66</v>
      </c>
      <c r="T92" t="s">
        <v>66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2</v>
      </c>
      <c r="AK92">
        <v>6</v>
      </c>
      <c r="AL92">
        <v>0</v>
      </c>
      <c r="AM92">
        <v>7</v>
      </c>
      <c r="AN92">
        <v>2</v>
      </c>
      <c r="AO92" t="s">
        <v>68</v>
      </c>
      <c r="AP92" t="s">
        <v>2510</v>
      </c>
      <c r="AQ92">
        <v>1.4139999999999999</v>
      </c>
      <c r="AR92" t="s">
        <v>69</v>
      </c>
      <c r="AS92">
        <v>13</v>
      </c>
      <c r="AT92">
        <v>2</v>
      </c>
      <c r="AU92">
        <v>2.222E-2</v>
      </c>
      <c r="AV92">
        <v>-3.7499999999999999E-3</v>
      </c>
      <c r="AW92">
        <v>9.4700000000000006E-2</v>
      </c>
      <c r="AX92">
        <v>-1.6760000000000001E-2</v>
      </c>
      <c r="AY92">
        <v>4.3699999999999998E-3</v>
      </c>
      <c r="AZ92">
        <v>-7.3999999999999999E-4</v>
      </c>
      <c r="BA92">
        <v>4.6199999999999998E-2</v>
      </c>
      <c r="BB92">
        <v>1</v>
      </c>
      <c r="BC92" t="s">
        <v>70</v>
      </c>
      <c r="BD92">
        <v>0.60899999999999999</v>
      </c>
      <c r="BE92">
        <v>0.60899999999999999</v>
      </c>
      <c r="BF92" t="s">
        <v>139</v>
      </c>
      <c r="BG92">
        <v>-9.7744360902255606E-2</v>
      </c>
      <c r="BI92">
        <v>4.6199999999999998E-2</v>
      </c>
      <c r="BJ92">
        <v>-9.7744360902255606E-2</v>
      </c>
    </row>
    <row r="93" spans="1:62">
      <c r="A93">
        <v>3610</v>
      </c>
      <c r="B93" t="s">
        <v>3592</v>
      </c>
      <c r="D93" t="s">
        <v>60</v>
      </c>
      <c r="E93">
        <v>3646753</v>
      </c>
      <c r="F93">
        <v>3647403</v>
      </c>
      <c r="G93" t="s">
        <v>3594</v>
      </c>
      <c r="H93">
        <v>217</v>
      </c>
      <c r="I93" t="s">
        <v>106</v>
      </c>
      <c r="J93">
        <v>4</v>
      </c>
      <c r="K93" t="str">
        <f>HYPERLINK("Gene3610-zp_tree_all.dnd", "Gene3610-tree")</f>
        <v>Gene3610-tree</v>
      </c>
      <c r="L93">
        <v>2</v>
      </c>
      <c r="M93">
        <v>2</v>
      </c>
      <c r="N93">
        <v>2</v>
      </c>
      <c r="O93">
        <v>2</v>
      </c>
      <c r="P93">
        <v>0.5</v>
      </c>
      <c r="Q93" t="s">
        <v>124</v>
      </c>
      <c r="R93" t="s">
        <v>124</v>
      </c>
      <c r="S93" t="s">
        <v>66</v>
      </c>
      <c r="T93" t="s">
        <v>66</v>
      </c>
      <c r="U93">
        <v>0</v>
      </c>
      <c r="V93">
        <v>0</v>
      </c>
      <c r="W93">
        <v>6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6</v>
      </c>
      <c r="AH93">
        <v>0</v>
      </c>
      <c r="AI93">
        <v>4</v>
      </c>
      <c r="AJ93">
        <v>1</v>
      </c>
      <c r="AK93">
        <v>28</v>
      </c>
      <c r="AL93">
        <v>6</v>
      </c>
      <c r="AM93">
        <v>4</v>
      </c>
      <c r="AN93">
        <v>0</v>
      </c>
      <c r="AO93" t="s">
        <v>3595</v>
      </c>
      <c r="AP93" t="s">
        <v>68</v>
      </c>
      <c r="AQ93">
        <v>0.63600000000000001</v>
      </c>
      <c r="AR93" t="s">
        <v>69</v>
      </c>
      <c r="AS93">
        <v>32</v>
      </c>
      <c r="AT93">
        <v>6</v>
      </c>
      <c r="AU93">
        <v>2.9190000000000001E-2</v>
      </c>
      <c r="AV93">
        <v>-6.9699999999999996E-3</v>
      </c>
      <c r="AW93">
        <v>0.12801999999999999</v>
      </c>
      <c r="AX93">
        <v>-3.0429999999999999E-2</v>
      </c>
      <c r="AY93">
        <v>5.8999999999999999E-3</v>
      </c>
      <c r="AZ93">
        <v>-1.92E-3</v>
      </c>
      <c r="BA93">
        <v>4.6120000000000001E-2</v>
      </c>
      <c r="BB93">
        <v>1</v>
      </c>
      <c r="BC93" t="s">
        <v>70</v>
      </c>
      <c r="BD93">
        <v>-0.33600000000000002</v>
      </c>
      <c r="BE93">
        <v>-0.86399999999999999</v>
      </c>
      <c r="BF93" t="s">
        <v>139</v>
      </c>
      <c r="BG93">
        <v>-0.203007518796992</v>
      </c>
      <c r="BI93">
        <v>4.6120000000000001E-2</v>
      </c>
      <c r="BJ93">
        <v>-0.203007518796992</v>
      </c>
    </row>
    <row r="94" spans="1:62">
      <c r="A94">
        <v>3892</v>
      </c>
      <c r="B94" t="s">
        <v>3855</v>
      </c>
      <c r="D94" t="s">
        <v>60</v>
      </c>
      <c r="E94">
        <v>3933209</v>
      </c>
      <c r="F94">
        <v>3933592</v>
      </c>
      <c r="G94" t="s">
        <v>3857</v>
      </c>
      <c r="H94">
        <v>128</v>
      </c>
      <c r="I94" t="s">
        <v>63</v>
      </c>
      <c r="J94">
        <v>5</v>
      </c>
      <c r="K94" t="str">
        <f>HYPERLINK("Gene3892-zp_tree_all.dnd", "Gene3892-tree")</f>
        <v>Gene3892-tree</v>
      </c>
      <c r="L94">
        <v>3</v>
      </c>
      <c r="M94">
        <v>2</v>
      </c>
      <c r="N94">
        <v>3</v>
      </c>
      <c r="O94">
        <v>1</v>
      </c>
      <c r="P94">
        <v>0.25</v>
      </c>
      <c r="Q94" t="s">
        <v>86</v>
      </c>
      <c r="R94" t="s">
        <v>65</v>
      </c>
      <c r="S94" t="s">
        <v>66</v>
      </c>
      <c r="T94" t="s">
        <v>66</v>
      </c>
      <c r="U94">
        <v>0</v>
      </c>
      <c r="V94">
        <v>0</v>
      </c>
      <c r="W94">
        <v>2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3</v>
      </c>
      <c r="AJ94">
        <v>1</v>
      </c>
      <c r="AK94">
        <v>9</v>
      </c>
      <c r="AL94">
        <v>1</v>
      </c>
      <c r="AM94">
        <v>5</v>
      </c>
      <c r="AN94">
        <v>1</v>
      </c>
      <c r="AO94" t="s">
        <v>3858</v>
      </c>
      <c r="AP94" t="s">
        <v>3859</v>
      </c>
      <c r="AQ94">
        <v>0.60599999999999998</v>
      </c>
      <c r="AR94" t="s">
        <v>69</v>
      </c>
      <c r="AS94">
        <v>14</v>
      </c>
      <c r="AT94">
        <v>2</v>
      </c>
      <c r="AU94">
        <v>2.257E-2</v>
      </c>
      <c r="AV94">
        <v>-4.0099999999999997E-3</v>
      </c>
      <c r="AW94">
        <v>8.7760000000000005E-2</v>
      </c>
      <c r="AX94">
        <v>-1.541E-2</v>
      </c>
      <c r="AY94">
        <v>4.0000000000000001E-3</v>
      </c>
      <c r="AZ94">
        <v>-9.6000000000000002E-4</v>
      </c>
      <c r="BA94">
        <v>4.5609999999999998E-2</v>
      </c>
      <c r="BB94">
        <v>1</v>
      </c>
      <c r="BC94" t="s">
        <v>70</v>
      </c>
      <c r="BD94">
        <v>1.4219999999999999</v>
      </c>
      <c r="BE94">
        <v>1.4219999999999999</v>
      </c>
      <c r="BF94" t="s">
        <v>139</v>
      </c>
      <c r="BG94">
        <v>-8.8607594936708806E-2</v>
      </c>
      <c r="BI94">
        <v>4.5609999999999998E-2</v>
      </c>
      <c r="BJ94">
        <v>-8.8607594936708806E-2</v>
      </c>
    </row>
    <row r="95" spans="1:62">
      <c r="A95">
        <v>4020</v>
      </c>
      <c r="B95" t="s">
        <v>3976</v>
      </c>
      <c r="D95" t="s">
        <v>60</v>
      </c>
      <c r="E95">
        <v>4066210</v>
      </c>
      <c r="F95">
        <v>4066560</v>
      </c>
      <c r="G95" t="s">
        <v>74</v>
      </c>
      <c r="H95">
        <v>117</v>
      </c>
      <c r="I95" t="s">
        <v>63</v>
      </c>
      <c r="J95">
        <v>5</v>
      </c>
      <c r="K95" t="str">
        <f>HYPERLINK("Gene4020-zp_tree_all.dnd", "Gene4020-tree")</f>
        <v>Gene4020-tree</v>
      </c>
      <c r="L95">
        <v>1</v>
      </c>
      <c r="M95">
        <v>4</v>
      </c>
      <c r="N95">
        <v>1</v>
      </c>
      <c r="O95">
        <v>4</v>
      </c>
      <c r="P95">
        <v>0.8</v>
      </c>
      <c r="Q95" t="s">
        <v>65</v>
      </c>
      <c r="R95" t="s">
        <v>64</v>
      </c>
      <c r="S95" t="s">
        <v>66</v>
      </c>
      <c r="T95" t="s">
        <v>66</v>
      </c>
      <c r="U95">
        <v>0</v>
      </c>
      <c r="V95">
        <v>0</v>
      </c>
      <c r="W95">
        <v>5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5</v>
      </c>
      <c r="AH95">
        <v>0</v>
      </c>
      <c r="AI95">
        <v>5</v>
      </c>
      <c r="AJ95">
        <v>2</v>
      </c>
      <c r="AK95">
        <v>8</v>
      </c>
      <c r="AL95">
        <v>4</v>
      </c>
      <c r="AM95">
        <v>11</v>
      </c>
      <c r="AN95">
        <v>1</v>
      </c>
      <c r="AO95" t="s">
        <v>3978</v>
      </c>
      <c r="AP95" t="s">
        <v>3979</v>
      </c>
      <c r="AQ95">
        <v>2.3239999999999998</v>
      </c>
      <c r="AR95" t="s">
        <v>239</v>
      </c>
      <c r="AS95">
        <v>19</v>
      </c>
      <c r="AT95">
        <v>5</v>
      </c>
      <c r="AU95">
        <v>3.4189999999999998E-2</v>
      </c>
      <c r="AV95">
        <v>-4.9199999999999999E-3</v>
      </c>
      <c r="AW95">
        <v>0.17446</v>
      </c>
      <c r="AX95">
        <v>-3.1570000000000001E-2</v>
      </c>
      <c r="AY95">
        <v>7.7400000000000004E-3</v>
      </c>
      <c r="AZ95">
        <v>-6.7000000000000002E-4</v>
      </c>
      <c r="BA95">
        <v>4.437E-2</v>
      </c>
      <c r="BB95">
        <v>1</v>
      </c>
      <c r="BC95" t="s">
        <v>70</v>
      </c>
      <c r="BD95">
        <v>0.31</v>
      </c>
      <c r="BE95">
        <v>0.31</v>
      </c>
      <c r="BF95" t="s">
        <v>139</v>
      </c>
      <c r="BG95">
        <v>0.22155688622754399</v>
      </c>
      <c r="BI95">
        <v>4.437E-2</v>
      </c>
      <c r="BJ95">
        <v>0.22155688622754399</v>
      </c>
    </row>
    <row r="96" spans="1:62">
      <c r="A96">
        <v>1839</v>
      </c>
      <c r="B96" t="s">
        <v>2049</v>
      </c>
      <c r="D96" t="s">
        <v>66</v>
      </c>
      <c r="E96">
        <v>1931923</v>
      </c>
      <c r="F96">
        <v>1932501</v>
      </c>
      <c r="G96" t="s">
        <v>2051</v>
      </c>
      <c r="H96">
        <v>193</v>
      </c>
      <c r="I96" t="s">
        <v>106</v>
      </c>
      <c r="J96">
        <v>4</v>
      </c>
      <c r="K96" t="str">
        <f>HYPERLINK("Gene1839-zp_tree_all.dnd", "Gene1839-tree")</f>
        <v>Gene1839-tree</v>
      </c>
      <c r="L96">
        <v>3</v>
      </c>
      <c r="M96">
        <v>1</v>
      </c>
      <c r="N96">
        <v>3</v>
      </c>
      <c r="O96">
        <v>1</v>
      </c>
      <c r="P96">
        <v>0.25</v>
      </c>
      <c r="Q96" t="s">
        <v>86</v>
      </c>
      <c r="R96" t="s">
        <v>65</v>
      </c>
      <c r="S96" t="s">
        <v>66</v>
      </c>
      <c r="T96" t="s">
        <v>66</v>
      </c>
      <c r="U96">
        <v>0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4</v>
      </c>
      <c r="AH96">
        <v>0</v>
      </c>
      <c r="AI96">
        <v>3</v>
      </c>
      <c r="AJ96">
        <v>1</v>
      </c>
      <c r="AK96">
        <v>26</v>
      </c>
      <c r="AL96">
        <v>4</v>
      </c>
      <c r="AM96">
        <v>1</v>
      </c>
      <c r="AN96">
        <v>0</v>
      </c>
      <c r="AO96" t="s">
        <v>2052</v>
      </c>
      <c r="AP96" t="s">
        <v>68</v>
      </c>
      <c r="AQ96">
        <v>0.50600000000000001</v>
      </c>
      <c r="AR96" t="s">
        <v>69</v>
      </c>
      <c r="AS96">
        <v>27</v>
      </c>
      <c r="AT96">
        <v>4</v>
      </c>
      <c r="AU96">
        <v>2.7060000000000001E-2</v>
      </c>
      <c r="AV96">
        <v>-9.1900000000000003E-3</v>
      </c>
      <c r="AW96">
        <v>0.1061</v>
      </c>
      <c r="AX96">
        <v>-3.585E-2</v>
      </c>
      <c r="AY96">
        <v>4.6299999999999996E-3</v>
      </c>
      <c r="AZ96">
        <v>-1.89E-3</v>
      </c>
      <c r="BA96">
        <v>4.367E-2</v>
      </c>
      <c r="BB96">
        <v>1</v>
      </c>
      <c r="BC96" t="s">
        <v>70</v>
      </c>
      <c r="BD96">
        <v>-0.76</v>
      </c>
      <c r="BE96">
        <v>-0.76</v>
      </c>
      <c r="BF96" t="s">
        <v>139</v>
      </c>
      <c r="BG96">
        <v>-2.9535864978902902E-2</v>
      </c>
      <c r="BI96">
        <v>4.367E-2</v>
      </c>
      <c r="BJ96">
        <v>-2.9535864978902902E-2</v>
      </c>
    </row>
    <row r="97" spans="1:62">
      <c r="A97">
        <v>359</v>
      </c>
      <c r="B97" t="s">
        <v>628</v>
      </c>
      <c r="D97" t="s">
        <v>66</v>
      </c>
      <c r="E97">
        <v>409211</v>
      </c>
      <c r="F97">
        <v>409951</v>
      </c>
      <c r="G97" t="s">
        <v>630</v>
      </c>
      <c r="H97">
        <v>247</v>
      </c>
      <c r="I97" t="s">
        <v>63</v>
      </c>
      <c r="J97">
        <v>5</v>
      </c>
      <c r="K97" t="str">
        <f>HYPERLINK("Gene359-zp_tree_all.dnd", "Gene359-tree")</f>
        <v>Gene359-tree</v>
      </c>
      <c r="L97">
        <v>2</v>
      </c>
      <c r="M97">
        <v>3</v>
      </c>
      <c r="N97">
        <v>2</v>
      </c>
      <c r="O97">
        <v>3</v>
      </c>
      <c r="P97">
        <v>0.6</v>
      </c>
      <c r="Q97" t="s">
        <v>124</v>
      </c>
      <c r="R97" t="s">
        <v>86</v>
      </c>
      <c r="S97" t="s">
        <v>66</v>
      </c>
      <c r="T97" t="s">
        <v>66</v>
      </c>
      <c r="U97">
        <v>0</v>
      </c>
      <c r="V97">
        <v>0</v>
      </c>
      <c r="W97">
        <v>8</v>
      </c>
      <c r="X97">
        <v>0</v>
      </c>
      <c r="Y97">
        <v>0</v>
      </c>
      <c r="Z97">
        <v>0</v>
      </c>
      <c r="AA97">
        <v>0</v>
      </c>
      <c r="AB97">
        <v>2</v>
      </c>
      <c r="AC97">
        <v>0</v>
      </c>
      <c r="AD97">
        <v>0</v>
      </c>
      <c r="AE97">
        <v>0</v>
      </c>
      <c r="AF97">
        <v>0</v>
      </c>
      <c r="AG97">
        <v>6</v>
      </c>
      <c r="AH97">
        <v>0</v>
      </c>
      <c r="AI97">
        <v>5</v>
      </c>
      <c r="AJ97">
        <v>2</v>
      </c>
      <c r="AK97">
        <v>26</v>
      </c>
      <c r="AL97">
        <v>6</v>
      </c>
      <c r="AM97">
        <v>20</v>
      </c>
      <c r="AN97">
        <v>2</v>
      </c>
      <c r="AO97" t="s">
        <v>631</v>
      </c>
      <c r="AP97" t="s">
        <v>632</v>
      </c>
      <c r="AQ97">
        <v>0.77900000000000003</v>
      </c>
      <c r="AR97" t="s">
        <v>69</v>
      </c>
      <c r="AS97">
        <v>46</v>
      </c>
      <c r="AT97">
        <v>8</v>
      </c>
      <c r="AU97">
        <v>3.4279999999999998E-2</v>
      </c>
      <c r="AV97">
        <v>-4.8500000000000001E-3</v>
      </c>
      <c r="AW97">
        <v>0.14565</v>
      </c>
      <c r="AX97">
        <v>-2.291E-2</v>
      </c>
      <c r="AY97">
        <v>6.3200000000000001E-3</v>
      </c>
      <c r="AZ97">
        <v>-9.3999999999999997E-4</v>
      </c>
      <c r="BA97">
        <v>4.3389999999999998E-2</v>
      </c>
      <c r="BB97">
        <v>1</v>
      </c>
      <c r="BC97" t="s">
        <v>70</v>
      </c>
      <c r="BD97">
        <v>0.13300000000000001</v>
      </c>
      <c r="BE97">
        <v>1.2E-2</v>
      </c>
      <c r="BF97" t="s">
        <v>139</v>
      </c>
      <c r="BG97">
        <v>-5.8823529411764698E-2</v>
      </c>
      <c r="BI97">
        <v>4.3389999999999998E-2</v>
      </c>
      <c r="BJ97">
        <v>-5.8823529411764698E-2</v>
      </c>
    </row>
    <row r="98" spans="1:62">
      <c r="A98">
        <v>879</v>
      </c>
      <c r="B98" t="s">
        <v>1005</v>
      </c>
      <c r="D98" t="s">
        <v>66</v>
      </c>
      <c r="E98">
        <v>941171</v>
      </c>
      <c r="F98">
        <v>942229</v>
      </c>
      <c r="G98" t="s">
        <v>74</v>
      </c>
      <c r="H98">
        <v>353</v>
      </c>
      <c r="I98" t="s">
        <v>63</v>
      </c>
      <c r="J98">
        <v>5</v>
      </c>
      <c r="K98" t="str">
        <f>HYPERLINK("Gene879-zp_tree_all.dnd", "Gene879-tree")</f>
        <v>Gene879-tree</v>
      </c>
      <c r="L98">
        <v>4</v>
      </c>
      <c r="M98">
        <v>1</v>
      </c>
      <c r="N98">
        <v>4</v>
      </c>
      <c r="O98">
        <v>1</v>
      </c>
      <c r="P98">
        <v>0.2</v>
      </c>
      <c r="Q98" t="s">
        <v>64</v>
      </c>
      <c r="R98" t="s">
        <v>65</v>
      </c>
      <c r="S98" t="s">
        <v>66</v>
      </c>
      <c r="T98" t="s">
        <v>66</v>
      </c>
      <c r="U98">
        <v>0</v>
      </c>
      <c r="V98">
        <v>0</v>
      </c>
      <c r="W98">
        <v>4</v>
      </c>
      <c r="X98">
        <v>0</v>
      </c>
      <c r="Y98">
        <v>0</v>
      </c>
      <c r="Z98">
        <v>0</v>
      </c>
      <c r="AA98">
        <v>0</v>
      </c>
      <c r="AB98">
        <v>3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4</v>
      </c>
      <c r="AJ98">
        <v>2</v>
      </c>
      <c r="AK98">
        <v>14</v>
      </c>
      <c r="AL98">
        <v>1</v>
      </c>
      <c r="AM98">
        <v>15</v>
      </c>
      <c r="AN98">
        <v>3</v>
      </c>
      <c r="AO98" t="s">
        <v>1007</v>
      </c>
      <c r="AP98" t="s">
        <v>1008</v>
      </c>
      <c r="AQ98">
        <v>0.51200000000000001</v>
      </c>
      <c r="AR98" t="s">
        <v>69</v>
      </c>
      <c r="AS98">
        <v>29</v>
      </c>
      <c r="AT98">
        <v>4</v>
      </c>
      <c r="AU98">
        <v>1.549E-2</v>
      </c>
      <c r="AV98">
        <v>-2.6199999999999999E-3</v>
      </c>
      <c r="AW98">
        <v>6.2530000000000002E-2</v>
      </c>
      <c r="AX98">
        <v>-1.0240000000000001E-2</v>
      </c>
      <c r="AY98">
        <v>2.6900000000000001E-3</v>
      </c>
      <c r="AZ98">
        <v>-6.4000000000000005E-4</v>
      </c>
      <c r="BA98">
        <v>4.3040000000000002E-2</v>
      </c>
      <c r="BB98">
        <v>1</v>
      </c>
      <c r="BC98" t="s">
        <v>70</v>
      </c>
      <c r="BD98">
        <v>0.50700000000000001</v>
      </c>
      <c r="BE98">
        <v>0.50700000000000001</v>
      </c>
      <c r="BF98" t="s">
        <v>139</v>
      </c>
      <c r="BG98">
        <v>-4.1474654377880102E-2</v>
      </c>
      <c r="BI98">
        <v>4.3040000000000002E-2</v>
      </c>
      <c r="BJ98">
        <v>-4.1474654377880102E-2</v>
      </c>
    </row>
    <row r="99" spans="1:62">
      <c r="A99">
        <v>3893</v>
      </c>
      <c r="B99" t="s">
        <v>3860</v>
      </c>
      <c r="D99" t="s">
        <v>60</v>
      </c>
      <c r="E99">
        <v>3933577</v>
      </c>
      <c r="F99">
        <v>3934251</v>
      </c>
      <c r="G99" t="s">
        <v>74</v>
      </c>
      <c r="H99">
        <v>225</v>
      </c>
      <c r="I99" t="s">
        <v>63</v>
      </c>
      <c r="J99">
        <v>5</v>
      </c>
      <c r="K99" t="str">
        <f>HYPERLINK("Gene3893-zp_tree_all.dnd", "Gene3893-tree")</f>
        <v>Gene3893-tree</v>
      </c>
      <c r="L99">
        <v>1</v>
      </c>
      <c r="M99">
        <v>4</v>
      </c>
      <c r="N99">
        <v>1</v>
      </c>
      <c r="O99">
        <v>4</v>
      </c>
      <c r="P99">
        <v>0.8</v>
      </c>
      <c r="Q99" t="s">
        <v>65</v>
      </c>
      <c r="R99" t="s">
        <v>64</v>
      </c>
      <c r="S99" t="s">
        <v>66</v>
      </c>
      <c r="T99" t="s">
        <v>66</v>
      </c>
      <c r="U99">
        <v>1</v>
      </c>
      <c r="V99">
        <v>3</v>
      </c>
      <c r="W99">
        <v>3</v>
      </c>
      <c r="X99">
        <v>0.5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</v>
      </c>
      <c r="AE99">
        <v>0</v>
      </c>
      <c r="AF99">
        <v>3</v>
      </c>
      <c r="AG99">
        <v>3</v>
      </c>
      <c r="AH99">
        <v>0.5</v>
      </c>
      <c r="AI99">
        <v>5</v>
      </c>
      <c r="AJ99">
        <v>2</v>
      </c>
      <c r="AK99">
        <v>29</v>
      </c>
      <c r="AL99">
        <v>6</v>
      </c>
      <c r="AM99">
        <v>16</v>
      </c>
      <c r="AN99">
        <v>1</v>
      </c>
      <c r="AO99" t="s">
        <v>3862</v>
      </c>
      <c r="AP99" t="s">
        <v>3863</v>
      </c>
      <c r="AQ99">
        <v>1.5660000000000001</v>
      </c>
      <c r="AR99" t="s">
        <v>69</v>
      </c>
      <c r="AS99">
        <v>45</v>
      </c>
      <c r="AT99">
        <v>7</v>
      </c>
      <c r="AU99">
        <v>3.3779999999999998E-2</v>
      </c>
      <c r="AV99">
        <v>-3.2799999999999999E-3</v>
      </c>
      <c r="AW99">
        <v>0.12297</v>
      </c>
      <c r="AX99">
        <v>-1.256E-2</v>
      </c>
      <c r="AY99">
        <v>5.2700000000000004E-3</v>
      </c>
      <c r="AZ99">
        <v>-9.6000000000000002E-4</v>
      </c>
      <c r="BA99">
        <v>4.2869999999999998E-2</v>
      </c>
      <c r="BB99">
        <v>1</v>
      </c>
      <c r="BC99" t="s">
        <v>70</v>
      </c>
      <c r="BD99">
        <v>0.246</v>
      </c>
      <c r="BE99">
        <v>-9.6000000000000002E-2</v>
      </c>
      <c r="BF99" t="s">
        <v>139</v>
      </c>
      <c r="BG99">
        <v>-4.4247787610619399E-2</v>
      </c>
      <c r="BI99">
        <v>4.2869999999999998E-2</v>
      </c>
      <c r="BJ99">
        <v>-4.4247787610619399E-2</v>
      </c>
    </row>
    <row r="100" spans="1:62">
      <c r="A100">
        <v>3524</v>
      </c>
      <c r="B100" t="s">
        <v>3513</v>
      </c>
      <c r="D100" t="s">
        <v>60</v>
      </c>
      <c r="E100">
        <v>3559632</v>
      </c>
      <c r="F100">
        <v>3559949</v>
      </c>
      <c r="G100" t="s">
        <v>74</v>
      </c>
      <c r="H100">
        <v>106</v>
      </c>
      <c r="I100" t="s">
        <v>63</v>
      </c>
      <c r="J100">
        <v>5</v>
      </c>
      <c r="K100" t="str">
        <f>HYPERLINK("Gene3524-zp_tree_all.dnd", "Gene3524-tree")</f>
        <v>Gene3524-tree</v>
      </c>
      <c r="L100">
        <v>2</v>
      </c>
      <c r="M100">
        <v>3</v>
      </c>
      <c r="N100">
        <v>2</v>
      </c>
      <c r="O100">
        <v>3</v>
      </c>
      <c r="P100">
        <v>0.6</v>
      </c>
      <c r="Q100" t="s">
        <v>124</v>
      </c>
      <c r="R100" t="s">
        <v>86</v>
      </c>
      <c r="S100" t="s">
        <v>66</v>
      </c>
      <c r="T100" t="s">
        <v>66</v>
      </c>
      <c r="U100">
        <v>0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3</v>
      </c>
      <c r="AH100">
        <v>0</v>
      </c>
      <c r="AI100">
        <v>4</v>
      </c>
      <c r="AJ100">
        <v>1</v>
      </c>
      <c r="AK100">
        <v>12</v>
      </c>
      <c r="AL100">
        <v>3</v>
      </c>
      <c r="AM100">
        <v>9</v>
      </c>
      <c r="AN100">
        <v>1</v>
      </c>
      <c r="AO100" t="s">
        <v>3515</v>
      </c>
      <c r="AP100" t="s">
        <v>3516</v>
      </c>
      <c r="AQ100">
        <v>0.64300000000000002</v>
      </c>
      <c r="AR100" t="s">
        <v>69</v>
      </c>
      <c r="AS100">
        <v>21</v>
      </c>
      <c r="AT100">
        <v>4</v>
      </c>
      <c r="AU100">
        <v>3.7499999999999999E-2</v>
      </c>
      <c r="AV100">
        <v>-6.0800000000000003E-3</v>
      </c>
      <c r="AW100">
        <v>0.17462</v>
      </c>
      <c r="AX100">
        <v>-3.338E-2</v>
      </c>
      <c r="AY100">
        <v>7.3699999999999998E-3</v>
      </c>
      <c r="AZ100">
        <v>-1.0399999999999999E-3</v>
      </c>
      <c r="BA100">
        <v>4.2189999999999998E-2</v>
      </c>
      <c r="BB100">
        <v>1</v>
      </c>
      <c r="BC100" t="s">
        <v>70</v>
      </c>
      <c r="BD100">
        <v>0.11600000000000001</v>
      </c>
      <c r="BE100">
        <v>-0.20699999999999999</v>
      </c>
      <c r="BF100" t="s">
        <v>139</v>
      </c>
      <c r="BG100">
        <v>-0.22448979591836701</v>
      </c>
      <c r="BI100">
        <v>4.2189999999999998E-2</v>
      </c>
      <c r="BJ100">
        <v>-0.22448979591836701</v>
      </c>
    </row>
    <row r="101" spans="1:62">
      <c r="A101">
        <v>164</v>
      </c>
      <c r="B101" t="s">
        <v>493</v>
      </c>
      <c r="D101" t="s">
        <v>66</v>
      </c>
      <c r="E101">
        <v>182373</v>
      </c>
      <c r="F101">
        <v>183323</v>
      </c>
      <c r="G101" t="s">
        <v>495</v>
      </c>
      <c r="H101">
        <v>317</v>
      </c>
      <c r="I101" t="s">
        <v>85</v>
      </c>
      <c r="J101">
        <v>4</v>
      </c>
      <c r="K101" t="str">
        <f>HYPERLINK("Gene164-zp_tree_all.dnd", "Gene164-tree")</f>
        <v>Gene164-tree</v>
      </c>
      <c r="L101">
        <v>2</v>
      </c>
      <c r="M101">
        <v>2</v>
      </c>
      <c r="N101">
        <v>2</v>
      </c>
      <c r="O101">
        <v>2</v>
      </c>
      <c r="P101">
        <v>0.5</v>
      </c>
      <c r="Q101" t="s">
        <v>124</v>
      </c>
      <c r="R101" t="s">
        <v>124</v>
      </c>
      <c r="S101" t="s">
        <v>66</v>
      </c>
      <c r="T101" t="s">
        <v>66</v>
      </c>
      <c r="U101">
        <v>0</v>
      </c>
      <c r="V101">
        <v>0</v>
      </c>
      <c r="W101">
        <v>7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7</v>
      </c>
      <c r="AH101">
        <v>0</v>
      </c>
      <c r="AI101">
        <v>4</v>
      </c>
      <c r="AJ101">
        <v>1</v>
      </c>
      <c r="AK101">
        <v>40</v>
      </c>
      <c r="AL101">
        <v>7</v>
      </c>
      <c r="AM101">
        <v>2</v>
      </c>
      <c r="AN101">
        <v>0</v>
      </c>
      <c r="AO101" t="s">
        <v>496</v>
      </c>
      <c r="AP101" t="s">
        <v>68</v>
      </c>
      <c r="AQ101">
        <v>0.86399999999999999</v>
      </c>
      <c r="AR101" t="s">
        <v>69</v>
      </c>
      <c r="AS101">
        <v>42</v>
      </c>
      <c r="AT101">
        <v>7</v>
      </c>
      <c r="AU101">
        <v>2.6110000000000001E-2</v>
      </c>
      <c r="AV101">
        <v>-5.5500000000000002E-3</v>
      </c>
      <c r="AW101">
        <v>0.11282</v>
      </c>
      <c r="AX101">
        <v>-2.4660000000000001E-2</v>
      </c>
      <c r="AY101">
        <v>4.7299999999999998E-3</v>
      </c>
      <c r="AZ101">
        <v>-1.31E-3</v>
      </c>
      <c r="BA101">
        <v>4.1939999999999998E-2</v>
      </c>
      <c r="BB101">
        <v>1</v>
      </c>
      <c r="BC101" t="s">
        <v>70</v>
      </c>
      <c r="BD101">
        <v>-0.73699999999999999</v>
      </c>
      <c r="BE101">
        <v>-0.73699999999999999</v>
      </c>
      <c r="BF101" t="s">
        <v>139</v>
      </c>
      <c r="BG101">
        <v>2.0512820512820499E-2</v>
      </c>
      <c r="BI101">
        <v>4.1939999999999998E-2</v>
      </c>
      <c r="BJ101">
        <v>2.0512820512820499E-2</v>
      </c>
    </row>
    <row r="102" spans="1:62">
      <c r="A102">
        <v>3203</v>
      </c>
      <c r="B102" t="s">
        <v>3187</v>
      </c>
      <c r="D102" t="s">
        <v>60</v>
      </c>
      <c r="E102">
        <v>3233911</v>
      </c>
      <c r="F102">
        <v>3235782</v>
      </c>
      <c r="G102" t="s">
        <v>3189</v>
      </c>
      <c r="H102">
        <v>624</v>
      </c>
      <c r="I102" t="s">
        <v>85</v>
      </c>
      <c r="J102">
        <v>4</v>
      </c>
      <c r="K102" t="str">
        <f>HYPERLINK("Gene3203-zp_tree_all.dnd", "Gene3203-tree")</f>
        <v>Gene3203-tree</v>
      </c>
      <c r="L102">
        <v>3</v>
      </c>
      <c r="M102">
        <v>1</v>
      </c>
      <c r="N102">
        <v>3</v>
      </c>
      <c r="O102">
        <v>1</v>
      </c>
      <c r="P102">
        <v>0.25</v>
      </c>
      <c r="Q102" t="s">
        <v>86</v>
      </c>
      <c r="R102" t="s">
        <v>65</v>
      </c>
      <c r="S102" t="s">
        <v>66</v>
      </c>
      <c r="T102" t="s">
        <v>66</v>
      </c>
      <c r="U102">
        <v>0</v>
      </c>
      <c r="V102">
        <v>0</v>
      </c>
      <c r="W102">
        <v>13</v>
      </c>
      <c r="X102">
        <v>0</v>
      </c>
      <c r="Y102">
        <v>0</v>
      </c>
      <c r="Z102">
        <v>0</v>
      </c>
      <c r="AA102">
        <v>0</v>
      </c>
      <c r="AB102">
        <v>3</v>
      </c>
      <c r="AC102">
        <v>0</v>
      </c>
      <c r="AD102">
        <v>0</v>
      </c>
      <c r="AE102">
        <v>0</v>
      </c>
      <c r="AF102">
        <v>0</v>
      </c>
      <c r="AG102">
        <v>10</v>
      </c>
      <c r="AH102">
        <v>0</v>
      </c>
      <c r="AI102">
        <v>4</v>
      </c>
      <c r="AJ102">
        <v>1</v>
      </c>
      <c r="AK102">
        <v>84</v>
      </c>
      <c r="AL102">
        <v>12</v>
      </c>
      <c r="AM102">
        <v>14</v>
      </c>
      <c r="AN102">
        <v>3</v>
      </c>
      <c r="AO102" t="s">
        <v>3190</v>
      </c>
      <c r="AP102" t="s">
        <v>3191</v>
      </c>
      <c r="AQ102">
        <v>0.26700000000000002</v>
      </c>
      <c r="AR102" t="s">
        <v>69</v>
      </c>
      <c r="AS102">
        <v>98</v>
      </c>
      <c r="AT102">
        <v>15</v>
      </c>
      <c r="AU102">
        <v>3.134E-2</v>
      </c>
      <c r="AV102">
        <v>-7.5500000000000003E-3</v>
      </c>
      <c r="AW102">
        <v>0.13341</v>
      </c>
      <c r="AX102">
        <v>-3.2160000000000001E-2</v>
      </c>
      <c r="AY102">
        <v>5.5700000000000003E-3</v>
      </c>
      <c r="AZ102">
        <v>-1.75E-3</v>
      </c>
      <c r="BA102">
        <v>4.1739999999999999E-2</v>
      </c>
      <c r="BB102">
        <v>1</v>
      </c>
      <c r="BC102" t="s">
        <v>70</v>
      </c>
      <c r="BD102">
        <v>-0.32500000000000001</v>
      </c>
      <c r="BE102">
        <v>-0.498</v>
      </c>
      <c r="BF102" t="s">
        <v>139</v>
      </c>
      <c r="BG102">
        <v>2.4271844660194102E-2</v>
      </c>
      <c r="BI102">
        <v>4.1739999999999999E-2</v>
      </c>
      <c r="BJ102">
        <v>2.4271844660194102E-2</v>
      </c>
    </row>
    <row r="103" spans="1:62">
      <c r="A103">
        <v>330</v>
      </c>
      <c r="B103" t="s">
        <v>611</v>
      </c>
      <c r="D103" t="s">
        <v>66</v>
      </c>
      <c r="E103">
        <v>355767</v>
      </c>
      <c r="F103">
        <v>358181</v>
      </c>
      <c r="G103" t="s">
        <v>613</v>
      </c>
      <c r="H103">
        <v>805</v>
      </c>
      <c r="I103" t="s">
        <v>106</v>
      </c>
      <c r="J103">
        <v>4</v>
      </c>
      <c r="K103" t="str">
        <f>HYPERLINK("Gene330-zp_tree_all.dnd", "Gene330-tree")</f>
        <v>Gene330-tree</v>
      </c>
      <c r="L103">
        <v>0</v>
      </c>
      <c r="M103">
        <v>4</v>
      </c>
      <c r="N103">
        <v>0</v>
      </c>
      <c r="O103">
        <v>4</v>
      </c>
      <c r="P103">
        <v>1</v>
      </c>
      <c r="Q103" t="s">
        <v>66</v>
      </c>
      <c r="R103" t="s">
        <v>64</v>
      </c>
      <c r="S103" t="s">
        <v>66</v>
      </c>
      <c r="T103" t="s">
        <v>66</v>
      </c>
      <c r="U103">
        <v>3</v>
      </c>
      <c r="V103">
        <v>7</v>
      </c>
      <c r="W103">
        <v>17</v>
      </c>
      <c r="X103">
        <v>0.29166999999999998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</v>
      </c>
      <c r="AE103">
        <v>3</v>
      </c>
      <c r="AF103">
        <v>7</v>
      </c>
      <c r="AG103">
        <v>17</v>
      </c>
      <c r="AH103">
        <v>0.29166999999999998</v>
      </c>
      <c r="AI103">
        <v>4</v>
      </c>
      <c r="AJ103">
        <v>1</v>
      </c>
      <c r="AK103">
        <v>138</v>
      </c>
      <c r="AL103">
        <v>22</v>
      </c>
      <c r="AM103">
        <v>10</v>
      </c>
      <c r="AN103">
        <v>2</v>
      </c>
      <c r="AO103" t="s">
        <v>614</v>
      </c>
      <c r="AP103" t="s">
        <v>615</v>
      </c>
      <c r="AQ103">
        <v>0.61399999999999999</v>
      </c>
      <c r="AR103" t="s">
        <v>69</v>
      </c>
      <c r="AS103">
        <v>148</v>
      </c>
      <c r="AT103">
        <v>24</v>
      </c>
      <c r="AU103">
        <v>3.4439999999999998E-2</v>
      </c>
      <c r="AV103">
        <v>-5.9699999999999996E-3</v>
      </c>
      <c r="AW103">
        <v>0.14369999999999999</v>
      </c>
      <c r="AX103">
        <v>-2.6700000000000002E-2</v>
      </c>
      <c r="AY103">
        <v>5.9699999999999996E-3</v>
      </c>
      <c r="AZ103">
        <v>-1.17E-3</v>
      </c>
      <c r="BA103">
        <v>4.1509999999999998E-2</v>
      </c>
      <c r="BB103">
        <v>1</v>
      </c>
      <c r="BC103" t="s">
        <v>70</v>
      </c>
      <c r="BD103">
        <v>-0.17100000000000001</v>
      </c>
      <c r="BE103">
        <v>-0.66700000000000004</v>
      </c>
      <c r="BF103" t="s">
        <v>139</v>
      </c>
      <c r="BG103">
        <v>-3.4540859309182798E-2</v>
      </c>
      <c r="BI103">
        <v>4.1509999999999998E-2</v>
      </c>
      <c r="BJ103">
        <v>-3.4540859309182798E-2</v>
      </c>
    </row>
    <row r="104" spans="1:62">
      <c r="A104">
        <v>3957</v>
      </c>
      <c r="B104" t="s">
        <v>3923</v>
      </c>
      <c r="D104" t="s">
        <v>60</v>
      </c>
      <c r="E104">
        <v>3999350</v>
      </c>
      <c r="F104">
        <v>4000483</v>
      </c>
      <c r="G104" t="s">
        <v>74</v>
      </c>
      <c r="H104">
        <v>378</v>
      </c>
      <c r="I104" t="s">
        <v>63</v>
      </c>
      <c r="J104">
        <v>5</v>
      </c>
      <c r="K104" t="str">
        <f>HYPERLINK("Gene3957-zp_tree_all.dnd", "Gene3957-tree")</f>
        <v>Gene3957-tree</v>
      </c>
      <c r="L104">
        <v>0</v>
      </c>
      <c r="M104">
        <v>5</v>
      </c>
      <c r="N104">
        <v>0</v>
      </c>
      <c r="O104">
        <v>5</v>
      </c>
      <c r="P104">
        <v>1</v>
      </c>
      <c r="Q104" t="s">
        <v>66</v>
      </c>
      <c r="R104" t="s">
        <v>96</v>
      </c>
      <c r="S104" t="s">
        <v>66</v>
      </c>
      <c r="T104" t="s">
        <v>66</v>
      </c>
      <c r="U104">
        <v>0</v>
      </c>
      <c r="V104">
        <v>0</v>
      </c>
      <c r="W104">
        <v>13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13</v>
      </c>
      <c r="AH104">
        <v>0</v>
      </c>
      <c r="AI104">
        <v>5</v>
      </c>
      <c r="AJ104">
        <v>2</v>
      </c>
      <c r="AK104">
        <v>37</v>
      </c>
      <c r="AL104">
        <v>9</v>
      </c>
      <c r="AM104">
        <v>40</v>
      </c>
      <c r="AN104">
        <v>4</v>
      </c>
      <c r="AO104" t="s">
        <v>3925</v>
      </c>
      <c r="AP104" t="s">
        <v>3926</v>
      </c>
      <c r="AQ104">
        <v>2.7679999999999998</v>
      </c>
      <c r="AR104" t="s">
        <v>239</v>
      </c>
      <c r="AS104">
        <v>77</v>
      </c>
      <c r="AT104">
        <v>13</v>
      </c>
      <c r="AU104">
        <v>3.8010000000000002E-2</v>
      </c>
      <c r="AV104">
        <v>-5.1999999999999998E-3</v>
      </c>
      <c r="AW104">
        <v>0.16721</v>
      </c>
      <c r="AX104">
        <v>-2.6159999999999999E-2</v>
      </c>
      <c r="AY104">
        <v>6.8500000000000002E-3</v>
      </c>
      <c r="AZ104">
        <v>-5.8E-4</v>
      </c>
      <c r="BA104">
        <v>4.0969999999999999E-2</v>
      </c>
      <c r="BB104">
        <v>1</v>
      </c>
      <c r="BC104" t="s">
        <v>70</v>
      </c>
      <c r="BD104">
        <v>0.621</v>
      </c>
      <c r="BE104">
        <v>0.373</v>
      </c>
      <c r="BF104" t="s">
        <v>139</v>
      </c>
      <c r="BG104">
        <v>9.1743119266054999E-3</v>
      </c>
      <c r="BI104">
        <v>4.0969999999999999E-2</v>
      </c>
      <c r="BJ104">
        <v>9.1743119266054999E-3</v>
      </c>
    </row>
    <row r="105" spans="1:62">
      <c r="A105">
        <v>417</v>
      </c>
      <c r="B105" t="s">
        <v>679</v>
      </c>
      <c r="D105" t="s">
        <v>66</v>
      </c>
      <c r="E105">
        <v>463499</v>
      </c>
      <c r="F105">
        <v>463783</v>
      </c>
      <c r="G105" t="s">
        <v>74</v>
      </c>
      <c r="H105">
        <v>95</v>
      </c>
      <c r="I105" t="s">
        <v>63</v>
      </c>
      <c r="J105">
        <v>5</v>
      </c>
      <c r="K105" t="str">
        <f>HYPERLINK("Gene417-zp_tree_all.dnd", "Gene417-tree")</f>
        <v>Gene417-tree</v>
      </c>
      <c r="L105">
        <v>4</v>
      </c>
      <c r="M105">
        <v>1</v>
      </c>
      <c r="N105">
        <v>4</v>
      </c>
      <c r="O105">
        <v>1</v>
      </c>
      <c r="P105">
        <v>0.2</v>
      </c>
      <c r="Q105" t="s">
        <v>64</v>
      </c>
      <c r="R105" t="s">
        <v>65</v>
      </c>
      <c r="S105" t="s">
        <v>66</v>
      </c>
      <c r="T105" t="s">
        <v>66</v>
      </c>
      <c r="U105">
        <v>0</v>
      </c>
      <c r="V105">
        <v>0</v>
      </c>
      <c r="W105">
        <v>2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4</v>
      </c>
      <c r="AJ105">
        <v>2</v>
      </c>
      <c r="AK105">
        <v>8</v>
      </c>
      <c r="AL105">
        <v>1</v>
      </c>
      <c r="AM105">
        <v>5</v>
      </c>
      <c r="AN105">
        <v>1</v>
      </c>
      <c r="AO105" t="s">
        <v>681</v>
      </c>
      <c r="AP105" t="s">
        <v>682</v>
      </c>
      <c r="AQ105">
        <v>0.246</v>
      </c>
      <c r="AR105" t="s">
        <v>69</v>
      </c>
      <c r="AS105">
        <v>13</v>
      </c>
      <c r="AT105">
        <v>2</v>
      </c>
      <c r="AU105">
        <v>2.5530000000000001E-2</v>
      </c>
      <c r="AV105">
        <v>-4.5599999999999998E-3</v>
      </c>
      <c r="AW105">
        <v>0.11352</v>
      </c>
      <c r="AX105">
        <v>-2.0299999999999999E-2</v>
      </c>
      <c r="AY105">
        <v>4.5300000000000002E-3</v>
      </c>
      <c r="AZ105">
        <v>-1.1100000000000001E-3</v>
      </c>
      <c r="BA105">
        <v>3.9910000000000001E-2</v>
      </c>
      <c r="BB105">
        <v>1</v>
      </c>
      <c r="BC105" t="s">
        <v>70</v>
      </c>
      <c r="BD105">
        <v>0</v>
      </c>
      <c r="BE105">
        <v>0</v>
      </c>
      <c r="BF105" t="s">
        <v>139</v>
      </c>
      <c r="BG105">
        <v>-0.10294117647058799</v>
      </c>
      <c r="BI105">
        <v>3.9910000000000001E-2</v>
      </c>
      <c r="BJ105">
        <v>-0.10294117647058799</v>
      </c>
    </row>
    <row r="106" spans="1:62">
      <c r="A106">
        <v>966</v>
      </c>
      <c r="B106" t="s">
        <v>1081</v>
      </c>
      <c r="D106" t="s">
        <v>66</v>
      </c>
      <c r="E106">
        <v>1033461</v>
      </c>
      <c r="F106">
        <v>1033889</v>
      </c>
      <c r="G106" t="s">
        <v>940</v>
      </c>
      <c r="H106">
        <v>143</v>
      </c>
      <c r="I106" t="s">
        <v>63</v>
      </c>
      <c r="J106">
        <v>5</v>
      </c>
      <c r="K106" t="str">
        <f>HYPERLINK("Gene966-zp_tree_all.dnd", "Gene966-tree")</f>
        <v>Gene966-tree</v>
      </c>
      <c r="L106">
        <v>5</v>
      </c>
      <c r="M106">
        <v>0</v>
      </c>
      <c r="N106">
        <v>4</v>
      </c>
      <c r="O106">
        <v>0</v>
      </c>
      <c r="P106">
        <v>0</v>
      </c>
      <c r="Q106" t="s">
        <v>135</v>
      </c>
      <c r="R106" t="s">
        <v>66</v>
      </c>
      <c r="S106" t="s">
        <v>66</v>
      </c>
      <c r="T106" t="s">
        <v>66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2</v>
      </c>
      <c r="AJ106">
        <v>1</v>
      </c>
      <c r="AK106">
        <v>2</v>
      </c>
      <c r="AL106">
        <v>0</v>
      </c>
      <c r="AM106">
        <v>6</v>
      </c>
      <c r="AN106">
        <v>1</v>
      </c>
      <c r="AO106" t="s">
        <v>68</v>
      </c>
      <c r="AP106" t="s">
        <v>1083</v>
      </c>
      <c r="AQ106">
        <v>0</v>
      </c>
      <c r="AR106" t="s">
        <v>69</v>
      </c>
      <c r="AS106">
        <v>8</v>
      </c>
      <c r="AT106">
        <v>1</v>
      </c>
      <c r="AU106">
        <v>1.321E-2</v>
      </c>
      <c r="AV106">
        <v>-3.1900000000000001E-3</v>
      </c>
      <c r="AW106">
        <v>5.1740000000000001E-2</v>
      </c>
      <c r="AX106">
        <v>-1.2330000000000001E-2</v>
      </c>
      <c r="AY106">
        <v>2.0400000000000001E-3</v>
      </c>
      <c r="AZ106">
        <v>-4.8000000000000001E-4</v>
      </c>
      <c r="BA106">
        <v>3.9379999999999998E-2</v>
      </c>
      <c r="BB106">
        <v>1</v>
      </c>
      <c r="BC106" t="s">
        <v>70</v>
      </c>
      <c r="BD106">
        <v>1.119</v>
      </c>
      <c r="BE106">
        <v>1.119</v>
      </c>
      <c r="BF106" t="s">
        <v>139</v>
      </c>
      <c r="BG106">
        <v>-4.1666666666666602E-2</v>
      </c>
      <c r="BI106">
        <v>3.9379999999999998E-2</v>
      </c>
      <c r="BJ106">
        <v>-4.1666666666666602E-2</v>
      </c>
    </row>
    <row r="107" spans="1:62">
      <c r="A107">
        <v>1389</v>
      </c>
      <c r="B107" t="s">
        <v>1368</v>
      </c>
      <c r="D107" t="s">
        <v>66</v>
      </c>
      <c r="E107">
        <v>1431489</v>
      </c>
      <c r="F107">
        <v>1433006</v>
      </c>
      <c r="G107" t="s">
        <v>1370</v>
      </c>
      <c r="H107">
        <v>506</v>
      </c>
      <c r="I107" t="s">
        <v>106</v>
      </c>
      <c r="J107">
        <v>4</v>
      </c>
      <c r="K107" t="str">
        <f>HYPERLINK("Gene1389-zp_tree_all.dnd", "Gene1389-tree")</f>
        <v>Gene1389-tree</v>
      </c>
      <c r="L107">
        <v>2</v>
      </c>
      <c r="M107">
        <v>2</v>
      </c>
      <c r="N107">
        <v>2</v>
      </c>
      <c r="O107">
        <v>2</v>
      </c>
      <c r="P107">
        <v>0.5</v>
      </c>
      <c r="Q107" t="s">
        <v>124</v>
      </c>
      <c r="R107" t="s">
        <v>124</v>
      </c>
      <c r="S107" t="s">
        <v>66</v>
      </c>
      <c r="T107" t="s">
        <v>66</v>
      </c>
      <c r="U107">
        <v>0</v>
      </c>
      <c r="V107">
        <v>0</v>
      </c>
      <c r="W107">
        <v>9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9</v>
      </c>
      <c r="AH107">
        <v>0</v>
      </c>
      <c r="AI107">
        <v>4</v>
      </c>
      <c r="AJ107">
        <v>1</v>
      </c>
      <c r="AK107">
        <v>68</v>
      </c>
      <c r="AL107">
        <v>10</v>
      </c>
      <c r="AM107">
        <v>2</v>
      </c>
      <c r="AN107">
        <v>0</v>
      </c>
      <c r="AO107" t="s">
        <v>1371</v>
      </c>
      <c r="AP107" t="s">
        <v>68</v>
      </c>
      <c r="AQ107">
        <v>0.61899999999999999</v>
      </c>
      <c r="AR107" t="s">
        <v>69</v>
      </c>
      <c r="AS107">
        <v>70</v>
      </c>
      <c r="AT107">
        <v>10</v>
      </c>
      <c r="AU107">
        <v>2.613E-2</v>
      </c>
      <c r="AV107">
        <v>-7.28E-3</v>
      </c>
      <c r="AW107">
        <v>0.10954999999999999</v>
      </c>
      <c r="AX107">
        <v>-3.1309999999999998E-2</v>
      </c>
      <c r="AY107">
        <v>4.3099999999999996E-3</v>
      </c>
      <c r="AZ107">
        <v>-1.33E-3</v>
      </c>
      <c r="BA107">
        <v>3.9320000000000001E-2</v>
      </c>
      <c r="BB107">
        <v>1</v>
      </c>
      <c r="BC107" t="s">
        <v>70</v>
      </c>
      <c r="BD107">
        <v>-0.70699999999999996</v>
      </c>
      <c r="BE107">
        <v>-0.70699999999999996</v>
      </c>
      <c r="BF107" t="s">
        <v>139</v>
      </c>
      <c r="BG107">
        <v>-2.53164556962025E-2</v>
      </c>
      <c r="BI107">
        <v>3.9320000000000001E-2</v>
      </c>
      <c r="BJ107">
        <v>-2.53164556962025E-2</v>
      </c>
    </row>
    <row r="108" spans="1:62">
      <c r="A108">
        <v>258</v>
      </c>
      <c r="B108" t="s">
        <v>547</v>
      </c>
      <c r="D108" t="s">
        <v>66</v>
      </c>
      <c r="E108">
        <v>281772</v>
      </c>
      <c r="F108">
        <v>282155</v>
      </c>
      <c r="G108" t="s">
        <v>74</v>
      </c>
      <c r="H108">
        <v>128</v>
      </c>
      <c r="I108" t="s">
        <v>63</v>
      </c>
      <c r="J108">
        <v>5</v>
      </c>
      <c r="K108" t="str">
        <f>HYPERLINK("Gene258-zp_tree_all.dnd", "Gene258-tree")</f>
        <v>Gene258-tree</v>
      </c>
      <c r="L108">
        <v>4</v>
      </c>
      <c r="M108">
        <v>1</v>
      </c>
      <c r="N108">
        <v>4</v>
      </c>
      <c r="O108">
        <v>1</v>
      </c>
      <c r="P108">
        <v>0.2</v>
      </c>
      <c r="Q108" t="s">
        <v>64</v>
      </c>
      <c r="R108" t="s">
        <v>65</v>
      </c>
      <c r="S108" t="s">
        <v>66</v>
      </c>
      <c r="T108" t="s">
        <v>66</v>
      </c>
      <c r="U108">
        <v>0</v>
      </c>
      <c r="V108">
        <v>0</v>
      </c>
      <c r="W108">
        <v>3</v>
      </c>
      <c r="X108">
        <v>0</v>
      </c>
      <c r="Y108">
        <v>0</v>
      </c>
      <c r="Z108">
        <v>0</v>
      </c>
      <c r="AA108">
        <v>0</v>
      </c>
      <c r="AB108">
        <v>2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4</v>
      </c>
      <c r="AJ108">
        <v>2</v>
      </c>
      <c r="AK108">
        <v>12</v>
      </c>
      <c r="AL108">
        <v>1</v>
      </c>
      <c r="AM108">
        <v>11</v>
      </c>
      <c r="AN108">
        <v>2</v>
      </c>
      <c r="AO108" t="s">
        <v>549</v>
      </c>
      <c r="AP108" t="s">
        <v>550</v>
      </c>
      <c r="AQ108">
        <v>0.41899999999999998</v>
      </c>
      <c r="AR108" t="s">
        <v>69</v>
      </c>
      <c r="AS108">
        <v>23</v>
      </c>
      <c r="AT108">
        <v>3</v>
      </c>
      <c r="AU108">
        <v>3.3849999999999998E-2</v>
      </c>
      <c r="AV108">
        <v>-5.4999999999999997E-3</v>
      </c>
      <c r="AW108">
        <v>0.14027999999999999</v>
      </c>
      <c r="AX108">
        <v>-2.256E-2</v>
      </c>
      <c r="AY108">
        <v>5.4900000000000001E-3</v>
      </c>
      <c r="AZ108">
        <v>-1.2999999999999999E-3</v>
      </c>
      <c r="BA108">
        <v>3.9170000000000003E-2</v>
      </c>
      <c r="BB108">
        <v>1</v>
      </c>
      <c r="BC108" t="s">
        <v>70</v>
      </c>
      <c r="BD108">
        <v>0.31</v>
      </c>
      <c r="BE108">
        <v>0.31</v>
      </c>
      <c r="BF108" t="s">
        <v>139</v>
      </c>
      <c r="BG108">
        <v>-0.265060240963855</v>
      </c>
      <c r="BI108">
        <v>3.9170000000000003E-2</v>
      </c>
      <c r="BJ108">
        <v>-0.265060240963855</v>
      </c>
    </row>
    <row r="109" spans="1:62">
      <c r="A109">
        <v>3916</v>
      </c>
      <c r="B109" t="s">
        <v>3891</v>
      </c>
      <c r="D109" t="s">
        <v>60</v>
      </c>
      <c r="E109">
        <v>3957391</v>
      </c>
      <c r="F109">
        <v>3958479</v>
      </c>
      <c r="G109" t="s">
        <v>3893</v>
      </c>
      <c r="H109">
        <v>363</v>
      </c>
      <c r="I109" t="s">
        <v>63</v>
      </c>
      <c r="J109">
        <v>5</v>
      </c>
      <c r="K109" t="str">
        <f>HYPERLINK("Gene3916-zp_tree_all.dnd", "Gene3916-tree")</f>
        <v>Gene3916-tree</v>
      </c>
      <c r="L109">
        <v>2</v>
      </c>
      <c r="M109">
        <v>3</v>
      </c>
      <c r="N109">
        <v>2</v>
      </c>
      <c r="O109">
        <v>3</v>
      </c>
      <c r="P109">
        <v>0.6</v>
      </c>
      <c r="Q109" t="s">
        <v>124</v>
      </c>
      <c r="R109" t="s">
        <v>86</v>
      </c>
      <c r="S109" t="s">
        <v>66</v>
      </c>
      <c r="T109" t="s">
        <v>66</v>
      </c>
      <c r="U109">
        <v>0</v>
      </c>
      <c r="V109">
        <v>0</v>
      </c>
      <c r="W109">
        <v>8</v>
      </c>
      <c r="X109">
        <v>0</v>
      </c>
      <c r="Y109">
        <v>0</v>
      </c>
      <c r="Z109">
        <v>0</v>
      </c>
      <c r="AA109">
        <v>0</v>
      </c>
      <c r="AB109">
        <v>3</v>
      </c>
      <c r="AC109">
        <v>0</v>
      </c>
      <c r="AD109">
        <v>0</v>
      </c>
      <c r="AE109">
        <v>0</v>
      </c>
      <c r="AF109">
        <v>0</v>
      </c>
      <c r="AG109">
        <v>5</v>
      </c>
      <c r="AH109">
        <v>0</v>
      </c>
      <c r="AI109">
        <v>5</v>
      </c>
      <c r="AJ109">
        <v>2</v>
      </c>
      <c r="AK109">
        <v>36</v>
      </c>
      <c r="AL109">
        <v>5</v>
      </c>
      <c r="AM109">
        <v>26</v>
      </c>
      <c r="AN109">
        <v>3</v>
      </c>
      <c r="AO109" t="s">
        <v>3894</v>
      </c>
      <c r="AP109" t="s">
        <v>3895</v>
      </c>
      <c r="AQ109">
        <v>0.214</v>
      </c>
      <c r="AR109" t="s">
        <v>69</v>
      </c>
      <c r="AS109">
        <v>62</v>
      </c>
      <c r="AT109">
        <v>8</v>
      </c>
      <c r="AU109">
        <v>2.836E-2</v>
      </c>
      <c r="AV109">
        <v>-3.2699999999999999E-3</v>
      </c>
      <c r="AW109">
        <v>0.11711000000000001</v>
      </c>
      <c r="AX109">
        <v>-1.406E-2</v>
      </c>
      <c r="AY109">
        <v>4.5700000000000003E-3</v>
      </c>
      <c r="AZ109">
        <v>-6.9999999999999999E-4</v>
      </c>
      <c r="BA109">
        <v>3.9039999999999998E-2</v>
      </c>
      <c r="BB109">
        <v>1</v>
      </c>
      <c r="BC109" t="s">
        <v>70</v>
      </c>
      <c r="BD109">
        <v>0.66200000000000003</v>
      </c>
      <c r="BE109">
        <v>0.55500000000000005</v>
      </c>
      <c r="BF109" t="s">
        <v>139</v>
      </c>
      <c r="BG109">
        <v>-1.19521912350597E-2</v>
      </c>
      <c r="BI109">
        <v>3.9039999999999998E-2</v>
      </c>
      <c r="BJ109">
        <v>-1.19521912350597E-2</v>
      </c>
    </row>
    <row r="110" spans="1:62">
      <c r="A110">
        <v>3266</v>
      </c>
      <c r="B110" t="s">
        <v>3253</v>
      </c>
      <c r="D110" t="s">
        <v>60</v>
      </c>
      <c r="E110">
        <v>3303042</v>
      </c>
      <c r="F110">
        <v>3304019</v>
      </c>
      <c r="G110" t="s">
        <v>3255</v>
      </c>
      <c r="H110">
        <v>326</v>
      </c>
      <c r="I110" t="s">
        <v>85</v>
      </c>
      <c r="J110">
        <v>4</v>
      </c>
      <c r="K110" t="str">
        <f>HYPERLINK("Gene3266-zp_tree_all.dnd", "Gene3266-tree")</f>
        <v>Gene3266-tree</v>
      </c>
      <c r="L110">
        <v>1</v>
      </c>
      <c r="M110">
        <v>3</v>
      </c>
      <c r="N110">
        <v>1</v>
      </c>
      <c r="O110">
        <v>3</v>
      </c>
      <c r="P110">
        <v>0.75</v>
      </c>
      <c r="Q110" t="s">
        <v>65</v>
      </c>
      <c r="R110" t="s">
        <v>86</v>
      </c>
      <c r="S110" t="s">
        <v>66</v>
      </c>
      <c r="T110" t="s">
        <v>66</v>
      </c>
      <c r="U110">
        <v>2</v>
      </c>
      <c r="V110">
        <v>4</v>
      </c>
      <c r="W110">
        <v>4</v>
      </c>
      <c r="X110">
        <v>0.5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</v>
      </c>
      <c r="AE110">
        <v>2</v>
      </c>
      <c r="AF110">
        <v>4</v>
      </c>
      <c r="AG110">
        <v>4</v>
      </c>
      <c r="AH110">
        <v>0.5</v>
      </c>
      <c r="AI110">
        <v>4</v>
      </c>
      <c r="AJ110">
        <v>1</v>
      </c>
      <c r="AK110">
        <v>54</v>
      </c>
      <c r="AL110">
        <v>9</v>
      </c>
      <c r="AM110">
        <v>6</v>
      </c>
      <c r="AN110">
        <v>0</v>
      </c>
      <c r="AO110" t="s">
        <v>3256</v>
      </c>
      <c r="AP110" t="s">
        <v>68</v>
      </c>
      <c r="AQ110">
        <v>1.87</v>
      </c>
      <c r="AR110" t="s">
        <v>69</v>
      </c>
      <c r="AS110">
        <v>60</v>
      </c>
      <c r="AT110">
        <v>9</v>
      </c>
      <c r="AU110">
        <v>3.3439999999999998E-2</v>
      </c>
      <c r="AV110">
        <v>-5.0600000000000003E-3</v>
      </c>
      <c r="AW110">
        <v>0.14409</v>
      </c>
      <c r="AX110">
        <v>-2.6710000000000001E-2</v>
      </c>
      <c r="AY110">
        <v>5.5700000000000003E-3</v>
      </c>
      <c r="AZ110">
        <v>-9.7000000000000005E-4</v>
      </c>
      <c r="BA110">
        <v>3.8629999999999998E-2</v>
      </c>
      <c r="BB110">
        <v>1</v>
      </c>
      <c r="BC110" t="s">
        <v>70</v>
      </c>
      <c r="BD110">
        <v>-5.6000000000000001E-2</v>
      </c>
      <c r="BE110">
        <v>-0.39900000000000002</v>
      </c>
      <c r="BF110" t="s">
        <v>139</v>
      </c>
      <c r="BG110">
        <v>-7.4492099322799099E-2</v>
      </c>
      <c r="BI110">
        <v>3.8629999999999998E-2</v>
      </c>
      <c r="BJ110">
        <v>-7.4492099322799099E-2</v>
      </c>
    </row>
    <row r="111" spans="1:62">
      <c r="A111">
        <v>2613</v>
      </c>
      <c r="B111" t="s">
        <v>2616</v>
      </c>
      <c r="D111" t="s">
        <v>60</v>
      </c>
      <c r="E111">
        <v>2641214</v>
      </c>
      <c r="F111">
        <v>2642032</v>
      </c>
      <c r="G111" t="s">
        <v>2618</v>
      </c>
      <c r="H111">
        <v>273</v>
      </c>
      <c r="I111" t="s">
        <v>85</v>
      </c>
      <c r="J111">
        <v>4</v>
      </c>
      <c r="K111" t="str">
        <f>HYPERLINK("Gene2613-zp_tree_all.dnd", "Gene2613-tree")</f>
        <v>Gene2613-tree</v>
      </c>
      <c r="L111">
        <v>1</v>
      </c>
      <c r="M111">
        <v>3</v>
      </c>
      <c r="N111">
        <v>1</v>
      </c>
      <c r="O111">
        <v>3</v>
      </c>
      <c r="P111">
        <v>0.75</v>
      </c>
      <c r="Q111" t="s">
        <v>65</v>
      </c>
      <c r="R111" t="s">
        <v>86</v>
      </c>
      <c r="S111" t="s">
        <v>66</v>
      </c>
      <c r="T111" t="s">
        <v>66</v>
      </c>
      <c r="U111">
        <v>0</v>
      </c>
      <c r="V111">
        <v>0</v>
      </c>
      <c r="W111">
        <v>7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7</v>
      </c>
      <c r="AH111">
        <v>0</v>
      </c>
      <c r="AI111">
        <v>3</v>
      </c>
      <c r="AJ111">
        <v>1</v>
      </c>
      <c r="AK111">
        <v>47</v>
      </c>
      <c r="AL111">
        <v>7</v>
      </c>
      <c r="AM111">
        <v>1</v>
      </c>
      <c r="AN111">
        <v>0</v>
      </c>
      <c r="AO111" t="s">
        <v>2619</v>
      </c>
      <c r="AP111" t="s">
        <v>68</v>
      </c>
      <c r="AQ111">
        <v>1.5069999999999999</v>
      </c>
      <c r="AR111" t="s">
        <v>69</v>
      </c>
      <c r="AS111">
        <v>48</v>
      </c>
      <c r="AT111">
        <v>7</v>
      </c>
      <c r="AU111">
        <v>3.3579999999999999E-2</v>
      </c>
      <c r="AV111">
        <v>-8.1399999999999997E-3</v>
      </c>
      <c r="AW111">
        <v>0.14943000000000001</v>
      </c>
      <c r="AX111">
        <v>-4.3189999999999999E-2</v>
      </c>
      <c r="AY111">
        <v>5.5500000000000002E-3</v>
      </c>
      <c r="AZ111">
        <v>-1.1100000000000001E-3</v>
      </c>
      <c r="BA111">
        <v>3.7139999999999999E-2</v>
      </c>
      <c r="BB111">
        <v>1</v>
      </c>
      <c r="BC111" t="s">
        <v>70</v>
      </c>
      <c r="BD111">
        <v>-0.69099999999999995</v>
      </c>
      <c r="BE111">
        <v>-0.86799999999999999</v>
      </c>
      <c r="BF111" t="s">
        <v>139</v>
      </c>
      <c r="BG111">
        <v>-6.4788732394366194E-2</v>
      </c>
      <c r="BI111">
        <v>3.7139999999999999E-2</v>
      </c>
      <c r="BJ111">
        <v>-6.4788732394366194E-2</v>
      </c>
    </row>
    <row r="112" spans="1:62">
      <c r="A112">
        <v>4072</v>
      </c>
      <c r="B112" t="s">
        <v>4050</v>
      </c>
      <c r="D112" t="s">
        <v>60</v>
      </c>
      <c r="E112">
        <v>4119527</v>
      </c>
      <c r="F112">
        <v>4121053</v>
      </c>
      <c r="G112" t="s">
        <v>4052</v>
      </c>
      <c r="H112">
        <v>509</v>
      </c>
      <c r="I112" t="s">
        <v>63</v>
      </c>
      <c r="J112">
        <v>5</v>
      </c>
      <c r="K112" t="str">
        <f>HYPERLINK("Gene4072-zp_tree_all.dnd", "Gene4072-tree")</f>
        <v>Gene4072-tree</v>
      </c>
      <c r="L112">
        <v>3</v>
      </c>
      <c r="M112">
        <v>2</v>
      </c>
      <c r="N112">
        <v>3</v>
      </c>
      <c r="O112">
        <v>2</v>
      </c>
      <c r="P112">
        <v>0.4</v>
      </c>
      <c r="Q112" t="s">
        <v>86</v>
      </c>
      <c r="R112" t="s">
        <v>124</v>
      </c>
      <c r="S112" t="s">
        <v>66</v>
      </c>
      <c r="T112" t="s">
        <v>66</v>
      </c>
      <c r="U112">
        <v>0</v>
      </c>
      <c r="V112">
        <v>0</v>
      </c>
      <c r="W112">
        <v>12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12</v>
      </c>
      <c r="AH112">
        <v>0</v>
      </c>
      <c r="AI112">
        <v>5</v>
      </c>
      <c r="AJ112">
        <v>2</v>
      </c>
      <c r="AK112">
        <v>56</v>
      </c>
      <c r="AL112">
        <v>9</v>
      </c>
      <c r="AM112">
        <v>47</v>
      </c>
      <c r="AN112">
        <v>4</v>
      </c>
      <c r="AO112" t="s">
        <v>4053</v>
      </c>
      <c r="AP112" t="s">
        <v>4054</v>
      </c>
      <c r="AQ112">
        <v>0.51800000000000002</v>
      </c>
      <c r="AR112" t="s">
        <v>69</v>
      </c>
      <c r="AS112">
        <v>103</v>
      </c>
      <c r="AT112">
        <v>13</v>
      </c>
      <c r="AU112">
        <v>3.406E-2</v>
      </c>
      <c r="AV112">
        <v>-4.8599999999999997E-3</v>
      </c>
      <c r="AW112">
        <v>0.14457999999999999</v>
      </c>
      <c r="AX112">
        <v>-2.085E-2</v>
      </c>
      <c r="AY112">
        <v>5.1999999999999998E-3</v>
      </c>
      <c r="AZ112">
        <v>-1.08E-3</v>
      </c>
      <c r="BA112">
        <v>3.5970000000000002E-2</v>
      </c>
      <c r="BB112">
        <v>1</v>
      </c>
      <c r="BC112" t="s">
        <v>70</v>
      </c>
      <c r="BD112">
        <v>0.57099999999999995</v>
      </c>
      <c r="BE112">
        <v>-1.2999999999999999E-2</v>
      </c>
      <c r="BF112" t="s">
        <v>139</v>
      </c>
      <c r="BG112">
        <v>-5.5934515688949499E-2</v>
      </c>
      <c r="BI112">
        <v>3.5970000000000002E-2</v>
      </c>
      <c r="BJ112">
        <v>-5.5934515688949499E-2</v>
      </c>
    </row>
    <row r="113" spans="1:62">
      <c r="A113">
        <v>1032</v>
      </c>
      <c r="B113" t="s">
        <v>1124</v>
      </c>
      <c r="D113" t="s">
        <v>66</v>
      </c>
      <c r="E113">
        <v>1098123</v>
      </c>
      <c r="F113">
        <v>1098260</v>
      </c>
      <c r="G113" t="s">
        <v>74</v>
      </c>
      <c r="H113">
        <v>46</v>
      </c>
      <c r="I113" t="s">
        <v>63</v>
      </c>
      <c r="J113">
        <v>5</v>
      </c>
      <c r="K113" t="str">
        <f>HYPERLINK("Gene1032-zp_tree_all.dnd", "Gene1032-tree")</f>
        <v>Gene1032-tree</v>
      </c>
      <c r="L113">
        <v>5</v>
      </c>
      <c r="M113">
        <v>0</v>
      </c>
      <c r="N113">
        <v>4</v>
      </c>
      <c r="O113">
        <v>0</v>
      </c>
      <c r="P113">
        <v>0</v>
      </c>
      <c r="Q113" t="s">
        <v>135</v>
      </c>
      <c r="R113" t="s">
        <v>66</v>
      </c>
      <c r="S113" t="s">
        <v>66</v>
      </c>
      <c r="T113" t="s">
        <v>66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3</v>
      </c>
      <c r="AJ113">
        <v>1</v>
      </c>
      <c r="AK113">
        <v>4</v>
      </c>
      <c r="AL113">
        <v>0</v>
      </c>
      <c r="AM113">
        <v>3</v>
      </c>
      <c r="AN113">
        <v>1</v>
      </c>
      <c r="AO113" t="s">
        <v>68</v>
      </c>
      <c r="AP113" t="s">
        <v>1126</v>
      </c>
      <c r="AQ113">
        <v>0</v>
      </c>
      <c r="AR113" t="s">
        <v>69</v>
      </c>
      <c r="AS113">
        <v>7</v>
      </c>
      <c r="AT113">
        <v>1</v>
      </c>
      <c r="AU113">
        <v>3.261E-2</v>
      </c>
      <c r="AV113">
        <v>-6.5599999999999999E-3</v>
      </c>
      <c r="AW113">
        <v>0.16883999999999999</v>
      </c>
      <c r="AX113">
        <v>-3.3980000000000003E-2</v>
      </c>
      <c r="AY113">
        <v>5.9899999999999997E-3</v>
      </c>
      <c r="AZ113">
        <v>-1.41E-3</v>
      </c>
      <c r="BA113">
        <v>3.5470000000000002E-2</v>
      </c>
      <c r="BB113">
        <v>1</v>
      </c>
      <c r="BC113" t="s">
        <v>70</v>
      </c>
      <c r="BD113">
        <v>1.5349999999999999</v>
      </c>
      <c r="BE113">
        <v>0.498</v>
      </c>
      <c r="BF113" t="s">
        <v>139</v>
      </c>
      <c r="BG113">
        <v>-0.37254901960784298</v>
      </c>
      <c r="BI113">
        <v>3.5470000000000002E-2</v>
      </c>
      <c r="BJ113">
        <v>-0.37254901960784298</v>
      </c>
    </row>
    <row r="114" spans="1:62">
      <c r="A114">
        <v>2216</v>
      </c>
      <c r="B114" t="s">
        <v>2133</v>
      </c>
      <c r="D114" t="s">
        <v>60</v>
      </c>
      <c r="E114">
        <v>2288194</v>
      </c>
      <c r="F114">
        <v>2288616</v>
      </c>
      <c r="G114" t="s">
        <v>787</v>
      </c>
      <c r="H114">
        <v>141</v>
      </c>
      <c r="I114" t="s">
        <v>63</v>
      </c>
      <c r="J114">
        <v>5</v>
      </c>
      <c r="K114" t="str">
        <f>HYPERLINK("Gene2216-zp_tree_all.dnd", "Gene2216-tree")</f>
        <v>Gene2216-tree</v>
      </c>
      <c r="L114">
        <v>4</v>
      </c>
      <c r="M114">
        <v>1</v>
      </c>
      <c r="N114">
        <v>4</v>
      </c>
      <c r="O114">
        <v>1</v>
      </c>
      <c r="P114">
        <v>0.2</v>
      </c>
      <c r="Q114" t="s">
        <v>64</v>
      </c>
      <c r="R114" t="s">
        <v>65</v>
      </c>
      <c r="S114" t="s">
        <v>66</v>
      </c>
      <c r="T114" t="s">
        <v>66</v>
      </c>
      <c r="U114">
        <v>0</v>
      </c>
      <c r="V114">
        <v>0</v>
      </c>
      <c r="W114">
        <v>3</v>
      </c>
      <c r="X114">
        <v>0</v>
      </c>
      <c r="Y114">
        <v>0</v>
      </c>
      <c r="Z114">
        <v>0</v>
      </c>
      <c r="AA114">
        <v>0</v>
      </c>
      <c r="AB114">
        <v>2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4</v>
      </c>
      <c r="AJ114">
        <v>1</v>
      </c>
      <c r="AK114">
        <v>11</v>
      </c>
      <c r="AL114">
        <v>1</v>
      </c>
      <c r="AM114">
        <v>11</v>
      </c>
      <c r="AN114">
        <v>2</v>
      </c>
      <c r="AO114" t="s">
        <v>2135</v>
      </c>
      <c r="AP114" t="s">
        <v>2136</v>
      </c>
      <c r="AQ114">
        <v>0.56499999999999995</v>
      </c>
      <c r="AR114" t="s">
        <v>69</v>
      </c>
      <c r="AS114">
        <v>22</v>
      </c>
      <c r="AT114">
        <v>3</v>
      </c>
      <c r="AU114">
        <v>2.9520000000000001E-2</v>
      </c>
      <c r="AV114">
        <v>-5.3800000000000002E-3</v>
      </c>
      <c r="AW114">
        <v>0.13843</v>
      </c>
      <c r="AX114">
        <v>-2.5229999999999999E-2</v>
      </c>
      <c r="AY114">
        <v>4.8399999999999997E-3</v>
      </c>
      <c r="AZ114">
        <v>-1.15E-3</v>
      </c>
      <c r="BA114">
        <v>3.4979999999999997E-2</v>
      </c>
      <c r="BB114">
        <v>1</v>
      </c>
      <c r="BC114" t="s">
        <v>70</v>
      </c>
      <c r="BD114">
        <v>0.56799999999999995</v>
      </c>
      <c r="BE114">
        <v>0.56799999999999995</v>
      </c>
      <c r="BF114" t="s">
        <v>139</v>
      </c>
      <c r="BG114">
        <v>-4.0935672514619798E-2</v>
      </c>
      <c r="BI114">
        <v>3.4979999999999997E-2</v>
      </c>
      <c r="BJ114">
        <v>-4.0935672514619798E-2</v>
      </c>
    </row>
    <row r="115" spans="1:62">
      <c r="A115">
        <v>4082</v>
      </c>
      <c r="B115" t="s">
        <v>4055</v>
      </c>
      <c r="D115" t="s">
        <v>60</v>
      </c>
      <c r="E115">
        <v>4128029</v>
      </c>
      <c r="F115">
        <v>4130041</v>
      </c>
      <c r="G115" t="s">
        <v>4057</v>
      </c>
      <c r="H115">
        <v>671</v>
      </c>
      <c r="I115" t="s">
        <v>1308</v>
      </c>
      <c r="J115">
        <v>4</v>
      </c>
      <c r="K115" t="str">
        <f>HYPERLINK("Gene4082-zp_tree_all.dnd", "Gene4082-tree")</f>
        <v>Gene4082-tree</v>
      </c>
      <c r="L115">
        <v>0</v>
      </c>
      <c r="M115">
        <v>4</v>
      </c>
      <c r="N115">
        <v>0</v>
      </c>
      <c r="O115">
        <v>4</v>
      </c>
      <c r="P115">
        <v>1</v>
      </c>
      <c r="Q115" t="s">
        <v>66</v>
      </c>
      <c r="R115" t="s">
        <v>64</v>
      </c>
      <c r="S115" t="s">
        <v>66</v>
      </c>
      <c r="T115" t="s">
        <v>66</v>
      </c>
      <c r="U115">
        <v>2</v>
      </c>
      <c r="V115">
        <v>4</v>
      </c>
      <c r="W115">
        <v>14</v>
      </c>
      <c r="X115">
        <v>0.22222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</v>
      </c>
      <c r="AE115">
        <v>0</v>
      </c>
      <c r="AF115">
        <v>4</v>
      </c>
      <c r="AG115">
        <v>14</v>
      </c>
      <c r="AH115">
        <v>0.22222</v>
      </c>
      <c r="AI115">
        <v>4</v>
      </c>
      <c r="AJ115">
        <v>1</v>
      </c>
      <c r="AK115">
        <v>140</v>
      </c>
      <c r="AL115">
        <v>16</v>
      </c>
      <c r="AM115">
        <v>14</v>
      </c>
      <c r="AN115">
        <v>4</v>
      </c>
      <c r="AO115" t="s">
        <v>4058</v>
      </c>
      <c r="AP115" t="s">
        <v>4059</v>
      </c>
      <c r="AQ115">
        <v>29.856999999999999</v>
      </c>
      <c r="AR115" t="s">
        <v>69</v>
      </c>
      <c r="AS115">
        <v>154</v>
      </c>
      <c r="AT115">
        <v>20</v>
      </c>
      <c r="AU115">
        <v>4.1939999999999998E-2</v>
      </c>
      <c r="AV115">
        <v>-1.6900000000000001E-3</v>
      </c>
      <c r="AW115">
        <v>0.18790999999999999</v>
      </c>
      <c r="AX115">
        <v>-8.1600000000000006E-3</v>
      </c>
      <c r="AY115">
        <v>6.5500000000000003E-3</v>
      </c>
      <c r="AZ115">
        <v>-6.8999999999999997E-4</v>
      </c>
      <c r="BA115">
        <v>3.4869999999999998E-2</v>
      </c>
      <c r="BB115">
        <v>1</v>
      </c>
      <c r="BC115" t="s">
        <v>70</v>
      </c>
      <c r="BD115">
        <v>-0.107</v>
      </c>
      <c r="BE115">
        <v>-0.18</v>
      </c>
      <c r="BF115" t="s">
        <v>139</v>
      </c>
      <c r="BG115">
        <v>-3.6789297658862803E-2</v>
      </c>
      <c r="BI115">
        <v>3.4869999999999998E-2</v>
      </c>
      <c r="BJ115">
        <v>-3.6789297658862803E-2</v>
      </c>
    </row>
    <row r="116" spans="1:62">
      <c r="A116">
        <v>389</v>
      </c>
      <c r="B116" t="s">
        <v>669</v>
      </c>
      <c r="D116" t="s">
        <v>66</v>
      </c>
      <c r="E116">
        <v>439285</v>
      </c>
      <c r="F116">
        <v>439569</v>
      </c>
      <c r="G116" t="s">
        <v>671</v>
      </c>
      <c r="H116">
        <v>95</v>
      </c>
      <c r="I116" t="s">
        <v>63</v>
      </c>
      <c r="J116">
        <v>5</v>
      </c>
      <c r="K116" t="str">
        <f>HYPERLINK("Gene389-zp_tree_all.dnd", "Gene389-tree")</f>
        <v>Gene389-tree</v>
      </c>
      <c r="L116">
        <v>4</v>
      </c>
      <c r="M116">
        <v>1</v>
      </c>
      <c r="N116">
        <v>3</v>
      </c>
      <c r="O116">
        <v>1</v>
      </c>
      <c r="P116">
        <v>0.25</v>
      </c>
      <c r="Q116" t="s">
        <v>112</v>
      </c>
      <c r="R116" t="s">
        <v>65</v>
      </c>
      <c r="S116" t="s">
        <v>66</v>
      </c>
      <c r="T116" t="s">
        <v>66</v>
      </c>
      <c r="U116">
        <v>0</v>
      </c>
      <c r="V116">
        <v>0</v>
      </c>
      <c r="W116">
        <v>2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3</v>
      </c>
      <c r="AJ116">
        <v>1</v>
      </c>
      <c r="AK116">
        <v>5</v>
      </c>
      <c r="AL116">
        <v>1</v>
      </c>
      <c r="AM116">
        <v>8</v>
      </c>
      <c r="AN116">
        <v>1</v>
      </c>
      <c r="AO116" t="s">
        <v>672</v>
      </c>
      <c r="AP116" t="s">
        <v>673</v>
      </c>
      <c r="AQ116">
        <v>0.311</v>
      </c>
      <c r="AR116" t="s">
        <v>69</v>
      </c>
      <c r="AS116">
        <v>13</v>
      </c>
      <c r="AT116">
        <v>2</v>
      </c>
      <c r="AU116">
        <v>3.1910000000000001E-2</v>
      </c>
      <c r="AV116">
        <v>-6.4200000000000004E-3</v>
      </c>
      <c r="AW116">
        <v>0.15090000000000001</v>
      </c>
      <c r="AX116">
        <v>-3.2530000000000003E-2</v>
      </c>
      <c r="AY116">
        <v>5.2500000000000003E-3</v>
      </c>
      <c r="AZ116">
        <v>-9.1E-4</v>
      </c>
      <c r="BA116">
        <v>3.4810000000000001E-2</v>
      </c>
      <c r="BB116">
        <v>1</v>
      </c>
      <c r="BC116" t="s">
        <v>70</v>
      </c>
      <c r="BD116">
        <v>0.81200000000000006</v>
      </c>
      <c r="BE116">
        <v>0.81200000000000006</v>
      </c>
      <c r="BF116" t="s">
        <v>139</v>
      </c>
      <c r="BG116">
        <v>-9.8360655737704902E-2</v>
      </c>
      <c r="BI116">
        <v>3.4810000000000001E-2</v>
      </c>
      <c r="BJ116">
        <v>-9.8360655737704902E-2</v>
      </c>
    </row>
    <row r="117" spans="1:62">
      <c r="A117">
        <v>1830</v>
      </c>
      <c r="B117" t="s">
        <v>2040</v>
      </c>
      <c r="D117" t="s">
        <v>66</v>
      </c>
      <c r="E117">
        <v>1926309</v>
      </c>
      <c r="F117">
        <v>1926452</v>
      </c>
      <c r="G117" t="s">
        <v>2042</v>
      </c>
      <c r="H117">
        <v>48</v>
      </c>
      <c r="I117" t="s">
        <v>63</v>
      </c>
      <c r="J117">
        <v>5</v>
      </c>
      <c r="K117" t="str">
        <f>HYPERLINK("Gene1830-zp_tree_all.dnd", "Gene1830-tree")</f>
        <v>Gene1830-tree</v>
      </c>
      <c r="L117">
        <v>5</v>
      </c>
      <c r="M117">
        <v>0</v>
      </c>
      <c r="N117">
        <v>4</v>
      </c>
      <c r="O117">
        <v>0</v>
      </c>
      <c r="P117">
        <v>0</v>
      </c>
      <c r="Q117" t="s">
        <v>135</v>
      </c>
      <c r="R117" t="s">
        <v>66</v>
      </c>
      <c r="S117" t="s">
        <v>66</v>
      </c>
      <c r="T117" t="s">
        <v>66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3</v>
      </c>
      <c r="AJ117">
        <v>1</v>
      </c>
      <c r="AK117">
        <v>3</v>
      </c>
      <c r="AL117">
        <v>0</v>
      </c>
      <c r="AM117">
        <v>4</v>
      </c>
      <c r="AN117">
        <v>1</v>
      </c>
      <c r="AO117" t="s">
        <v>68</v>
      </c>
      <c r="AP117" t="s">
        <v>2043</v>
      </c>
      <c r="AQ117">
        <v>0</v>
      </c>
      <c r="AR117" t="s">
        <v>69</v>
      </c>
      <c r="AS117">
        <v>7</v>
      </c>
      <c r="AT117">
        <v>1</v>
      </c>
      <c r="AU117">
        <v>3.356E-2</v>
      </c>
      <c r="AV117">
        <v>-6.8300000000000001E-3</v>
      </c>
      <c r="AW117">
        <v>0.16725999999999999</v>
      </c>
      <c r="AX117">
        <v>-3.3700000000000001E-2</v>
      </c>
      <c r="AY117">
        <v>5.8100000000000001E-3</v>
      </c>
      <c r="AZ117">
        <v>-1.3699999999999999E-3</v>
      </c>
      <c r="BA117">
        <v>3.4709999999999998E-2</v>
      </c>
      <c r="BB117">
        <v>1</v>
      </c>
      <c r="BC117" t="s">
        <v>70</v>
      </c>
      <c r="BD117">
        <v>1.028</v>
      </c>
      <c r="BE117">
        <v>1.028</v>
      </c>
      <c r="BF117" t="s">
        <v>139</v>
      </c>
      <c r="BG117">
        <v>0</v>
      </c>
      <c r="BI117">
        <v>3.4709999999999998E-2</v>
      </c>
      <c r="BJ117">
        <v>0</v>
      </c>
    </row>
    <row r="118" spans="1:62">
      <c r="A118">
        <v>965</v>
      </c>
      <c r="B118" t="s">
        <v>1077</v>
      </c>
      <c r="D118" t="s">
        <v>66</v>
      </c>
      <c r="E118">
        <v>1032066</v>
      </c>
      <c r="F118">
        <v>1033397</v>
      </c>
      <c r="G118" t="s">
        <v>74</v>
      </c>
      <c r="H118">
        <v>444</v>
      </c>
      <c r="I118" t="s">
        <v>63</v>
      </c>
      <c r="J118">
        <v>5</v>
      </c>
      <c r="K118" t="str">
        <f>HYPERLINK("Gene965-zp_tree_all.dnd", "Gene965-tree")</f>
        <v>Gene965-tree</v>
      </c>
      <c r="L118">
        <v>2</v>
      </c>
      <c r="M118">
        <v>3</v>
      </c>
      <c r="N118">
        <v>2</v>
      </c>
      <c r="O118">
        <v>3</v>
      </c>
      <c r="P118">
        <v>0.6</v>
      </c>
      <c r="Q118" t="s">
        <v>124</v>
      </c>
      <c r="R118" t="s">
        <v>86</v>
      </c>
      <c r="S118" t="s">
        <v>66</v>
      </c>
      <c r="T118" t="s">
        <v>66</v>
      </c>
      <c r="U118">
        <v>0</v>
      </c>
      <c r="V118">
        <v>0</v>
      </c>
      <c r="W118">
        <v>8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8</v>
      </c>
      <c r="AH118">
        <v>0</v>
      </c>
      <c r="AI118">
        <v>5</v>
      </c>
      <c r="AJ118">
        <v>2</v>
      </c>
      <c r="AK118">
        <v>24</v>
      </c>
      <c r="AL118">
        <v>4</v>
      </c>
      <c r="AM118">
        <v>45</v>
      </c>
      <c r="AN118">
        <v>5</v>
      </c>
      <c r="AO118" t="s">
        <v>1079</v>
      </c>
      <c r="AP118" t="s">
        <v>1080</v>
      </c>
      <c r="AQ118">
        <v>0.46500000000000002</v>
      </c>
      <c r="AR118" t="s">
        <v>69</v>
      </c>
      <c r="AS118">
        <v>69</v>
      </c>
      <c r="AT118">
        <v>9</v>
      </c>
      <c r="AU118">
        <v>3.0849999999999999E-2</v>
      </c>
      <c r="AV118">
        <v>-5.28E-3</v>
      </c>
      <c r="AW118">
        <v>0.13475000000000001</v>
      </c>
      <c r="AX118">
        <v>-2.368E-2</v>
      </c>
      <c r="AY118">
        <v>4.6299999999999996E-3</v>
      </c>
      <c r="AZ118">
        <v>-9.2000000000000003E-4</v>
      </c>
      <c r="BA118">
        <v>3.4380000000000001E-2</v>
      </c>
      <c r="BB118">
        <v>1</v>
      </c>
      <c r="BC118" t="s">
        <v>70</v>
      </c>
      <c r="BD118">
        <v>0.91300000000000003</v>
      </c>
      <c r="BE118">
        <v>0.61499999999999999</v>
      </c>
      <c r="BF118" t="s">
        <v>139</v>
      </c>
      <c r="BG118">
        <v>-4.7120418848167499E-2</v>
      </c>
      <c r="BI118">
        <v>3.4380000000000001E-2</v>
      </c>
      <c r="BJ118">
        <v>-4.7120418848167499E-2</v>
      </c>
    </row>
    <row r="119" spans="1:62">
      <c r="A119">
        <v>3504</v>
      </c>
      <c r="B119" t="s">
        <v>3508</v>
      </c>
      <c r="D119" t="s">
        <v>60</v>
      </c>
      <c r="E119">
        <v>3536012</v>
      </c>
      <c r="F119">
        <v>3537430</v>
      </c>
      <c r="G119" t="s">
        <v>3510</v>
      </c>
      <c r="H119">
        <v>473</v>
      </c>
      <c r="I119" t="s">
        <v>63</v>
      </c>
      <c r="J119">
        <v>5</v>
      </c>
      <c r="K119" t="str">
        <f>HYPERLINK("Gene3504-zp_tree_all.dnd", "Gene3504-tree")</f>
        <v>Gene3504-tree</v>
      </c>
      <c r="L119">
        <v>2</v>
      </c>
      <c r="M119">
        <v>3</v>
      </c>
      <c r="N119">
        <v>2</v>
      </c>
      <c r="O119">
        <v>3</v>
      </c>
      <c r="P119">
        <v>0.6</v>
      </c>
      <c r="Q119" t="s">
        <v>124</v>
      </c>
      <c r="R119" t="s">
        <v>86</v>
      </c>
      <c r="S119" t="s">
        <v>66</v>
      </c>
      <c r="T119" t="s">
        <v>66</v>
      </c>
      <c r="U119">
        <v>1</v>
      </c>
      <c r="V119">
        <v>2</v>
      </c>
      <c r="W119">
        <v>11</v>
      </c>
      <c r="X119">
        <v>0.15384999999999999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</v>
      </c>
      <c r="AF119">
        <v>2</v>
      </c>
      <c r="AG119">
        <v>11</v>
      </c>
      <c r="AH119">
        <v>0.15384999999999999</v>
      </c>
      <c r="AI119">
        <v>5</v>
      </c>
      <c r="AJ119">
        <v>2</v>
      </c>
      <c r="AK119">
        <v>76</v>
      </c>
      <c r="AL119">
        <v>9</v>
      </c>
      <c r="AM119">
        <v>33</v>
      </c>
      <c r="AN119">
        <v>4</v>
      </c>
      <c r="AO119" t="s">
        <v>3511</v>
      </c>
      <c r="AP119" t="s">
        <v>3512</v>
      </c>
      <c r="AQ119">
        <v>3.5999999999999997E-2</v>
      </c>
      <c r="AR119" t="s">
        <v>69</v>
      </c>
      <c r="AS119">
        <v>109</v>
      </c>
      <c r="AT119">
        <v>13</v>
      </c>
      <c r="AU119">
        <v>3.6080000000000001E-2</v>
      </c>
      <c r="AV119">
        <v>-4.2300000000000003E-3</v>
      </c>
      <c r="AW119">
        <v>0.16034000000000001</v>
      </c>
      <c r="AX119">
        <v>-1.8669999999999999E-2</v>
      </c>
      <c r="AY119">
        <v>5.47E-3</v>
      </c>
      <c r="AZ119">
        <v>-1E-3</v>
      </c>
      <c r="BA119">
        <v>3.4130000000000001E-2</v>
      </c>
      <c r="BB119">
        <v>1</v>
      </c>
      <c r="BC119" t="s">
        <v>70</v>
      </c>
      <c r="BD119">
        <v>0.121</v>
      </c>
      <c r="BE119">
        <v>-0.151</v>
      </c>
      <c r="BF119" t="s">
        <v>139</v>
      </c>
      <c r="BG119">
        <v>9.0598290598290596E-2</v>
      </c>
      <c r="BI119">
        <v>3.4130000000000001E-2</v>
      </c>
      <c r="BJ119">
        <v>9.0598290598290596E-2</v>
      </c>
    </row>
    <row r="120" spans="1:62">
      <c r="A120">
        <v>1484</v>
      </c>
      <c r="B120" t="s">
        <v>4156</v>
      </c>
      <c r="D120" t="s">
        <v>66</v>
      </c>
      <c r="E120">
        <v>1526198</v>
      </c>
      <c r="F120">
        <v>1526749</v>
      </c>
      <c r="G120" t="s">
        <v>4158</v>
      </c>
      <c r="H120">
        <v>184</v>
      </c>
      <c r="I120" t="s">
        <v>63</v>
      </c>
      <c r="J120">
        <v>5</v>
      </c>
      <c r="K120" t="str">
        <f>HYPERLINK("Gene1484-zp_tree_all.dnd", "Gene1484-tree")</f>
        <v>Gene1484-tree</v>
      </c>
      <c r="L120">
        <v>2</v>
      </c>
      <c r="M120">
        <v>3</v>
      </c>
      <c r="N120">
        <v>2</v>
      </c>
      <c r="O120">
        <v>3</v>
      </c>
      <c r="P120">
        <v>0.6</v>
      </c>
      <c r="Q120" t="s">
        <v>124</v>
      </c>
      <c r="R120" t="s">
        <v>86</v>
      </c>
      <c r="S120" t="s">
        <v>66</v>
      </c>
      <c r="T120" t="s">
        <v>66</v>
      </c>
      <c r="U120">
        <v>0</v>
      </c>
      <c r="V120">
        <v>0</v>
      </c>
      <c r="W120">
        <v>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5</v>
      </c>
      <c r="AH120">
        <v>0</v>
      </c>
      <c r="AI120">
        <v>5</v>
      </c>
      <c r="AJ120">
        <v>1</v>
      </c>
      <c r="AK120">
        <v>12</v>
      </c>
      <c r="AL120">
        <v>5</v>
      </c>
      <c r="AM120">
        <v>18</v>
      </c>
      <c r="AN120">
        <v>0</v>
      </c>
      <c r="AO120" t="s">
        <v>4159</v>
      </c>
      <c r="AP120" t="s">
        <v>68</v>
      </c>
      <c r="AQ120">
        <v>1.2270000000000001</v>
      </c>
      <c r="AR120" t="s">
        <v>69</v>
      </c>
      <c r="AS120">
        <v>30</v>
      </c>
      <c r="AT120">
        <v>5</v>
      </c>
      <c r="AU120">
        <v>3.134E-2</v>
      </c>
      <c r="AV120">
        <v>-5.8300000000000001E-3</v>
      </c>
      <c r="AW120">
        <v>0.13908000000000001</v>
      </c>
      <c r="AX120">
        <v>-2.86E-2</v>
      </c>
      <c r="AY120">
        <v>4.7099999999999998E-3</v>
      </c>
      <c r="AZ120">
        <v>-1E-3</v>
      </c>
      <c r="BA120">
        <v>3.3840000000000002E-2</v>
      </c>
      <c r="BB120">
        <v>1</v>
      </c>
      <c r="BC120" t="s">
        <v>70</v>
      </c>
      <c r="BD120">
        <v>0.69099999999999995</v>
      </c>
      <c r="BE120">
        <v>0.45400000000000001</v>
      </c>
      <c r="BF120" t="s">
        <v>139</v>
      </c>
      <c r="BG120">
        <v>1.6528925619834701E-2</v>
      </c>
      <c r="BI120">
        <v>3.3840000000000002E-2</v>
      </c>
      <c r="BJ120">
        <v>1.6528925619834701E-2</v>
      </c>
    </row>
    <row r="121" spans="1:62">
      <c r="A121">
        <v>3038</v>
      </c>
      <c r="B121" t="s">
        <v>3053</v>
      </c>
      <c r="D121" t="s">
        <v>60</v>
      </c>
      <c r="E121">
        <v>3054746</v>
      </c>
      <c r="F121">
        <v>3055189</v>
      </c>
      <c r="G121" t="s">
        <v>74</v>
      </c>
      <c r="H121">
        <v>148</v>
      </c>
      <c r="I121" t="s">
        <v>85</v>
      </c>
      <c r="J121">
        <v>4</v>
      </c>
      <c r="K121" t="str">
        <f>HYPERLINK("Gene3038-zp_tree_all.dnd", "Gene3038-tree")</f>
        <v>Gene3038-tree</v>
      </c>
      <c r="L121">
        <v>2</v>
      </c>
      <c r="M121">
        <v>2</v>
      </c>
      <c r="N121">
        <v>2</v>
      </c>
      <c r="O121">
        <v>2</v>
      </c>
      <c r="P121">
        <v>0.5</v>
      </c>
      <c r="Q121" t="s">
        <v>124</v>
      </c>
      <c r="R121" t="s">
        <v>124</v>
      </c>
      <c r="S121" t="s">
        <v>66</v>
      </c>
      <c r="T121" t="s">
        <v>66</v>
      </c>
      <c r="U121">
        <v>0</v>
      </c>
      <c r="V121">
        <v>0</v>
      </c>
      <c r="W121">
        <v>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3</v>
      </c>
      <c r="AH121">
        <v>0</v>
      </c>
      <c r="AI121">
        <v>3</v>
      </c>
      <c r="AJ121">
        <v>1</v>
      </c>
      <c r="AK121">
        <v>17</v>
      </c>
      <c r="AL121">
        <v>3</v>
      </c>
      <c r="AM121">
        <v>4</v>
      </c>
      <c r="AN121">
        <v>0</v>
      </c>
      <c r="AO121" t="s">
        <v>3055</v>
      </c>
      <c r="AP121" t="s">
        <v>68</v>
      </c>
      <c r="AQ121">
        <v>0.95599999999999996</v>
      </c>
      <c r="AR121" t="s">
        <v>69</v>
      </c>
      <c r="AS121">
        <v>21</v>
      </c>
      <c r="AT121">
        <v>3</v>
      </c>
      <c r="AU121">
        <v>2.853E-2</v>
      </c>
      <c r="AV121">
        <v>-7.0600000000000003E-3</v>
      </c>
      <c r="AW121">
        <v>0.13031000000000001</v>
      </c>
      <c r="AX121">
        <v>-3.3959999999999997E-2</v>
      </c>
      <c r="AY121">
        <v>4.3299999999999996E-3</v>
      </c>
      <c r="AZ121">
        <v>-1.1299999999999999E-3</v>
      </c>
      <c r="BA121">
        <v>3.3259999999999998E-2</v>
      </c>
      <c r="BB121">
        <v>1</v>
      </c>
      <c r="BC121" t="s">
        <v>70</v>
      </c>
      <c r="BD121">
        <v>-0.33400000000000002</v>
      </c>
      <c r="BE121">
        <v>-0.33400000000000002</v>
      </c>
      <c r="BF121" t="s">
        <v>139</v>
      </c>
      <c r="BG121">
        <v>3.125E-2</v>
      </c>
      <c r="BI121">
        <v>3.3259999999999998E-2</v>
      </c>
      <c r="BJ121">
        <v>3.125E-2</v>
      </c>
    </row>
    <row r="122" spans="1:62">
      <c r="A122">
        <v>3703</v>
      </c>
      <c r="B122" t="s">
        <v>3650</v>
      </c>
      <c r="D122" t="s">
        <v>60</v>
      </c>
      <c r="E122">
        <v>3749052</v>
      </c>
      <c r="F122">
        <v>3749462</v>
      </c>
      <c r="G122" t="s">
        <v>3652</v>
      </c>
      <c r="H122">
        <v>137</v>
      </c>
      <c r="I122" t="s">
        <v>63</v>
      </c>
      <c r="J122">
        <v>5</v>
      </c>
      <c r="K122" t="str">
        <f>HYPERLINK("Gene3703-zp_tree_all.dnd", "Gene3703-tree")</f>
        <v>Gene3703-tree</v>
      </c>
      <c r="L122">
        <v>4</v>
      </c>
      <c r="M122">
        <v>1</v>
      </c>
      <c r="N122">
        <v>4</v>
      </c>
      <c r="O122">
        <v>1</v>
      </c>
      <c r="P122">
        <v>0.2</v>
      </c>
      <c r="Q122" t="s">
        <v>64</v>
      </c>
      <c r="R122" t="s">
        <v>65</v>
      </c>
      <c r="S122" t="s">
        <v>66</v>
      </c>
      <c r="T122" t="s">
        <v>66</v>
      </c>
      <c r="U122">
        <v>0</v>
      </c>
      <c r="V122">
        <v>0</v>
      </c>
      <c r="W122">
        <v>2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5</v>
      </c>
      <c r="AJ122">
        <v>2</v>
      </c>
      <c r="AK122">
        <v>11</v>
      </c>
      <c r="AL122">
        <v>1</v>
      </c>
      <c r="AM122">
        <v>6</v>
      </c>
      <c r="AN122">
        <v>1</v>
      </c>
      <c r="AO122" t="s">
        <v>3653</v>
      </c>
      <c r="AP122" t="s">
        <v>3654</v>
      </c>
      <c r="AQ122">
        <v>0.30299999999999999</v>
      </c>
      <c r="AR122" t="s">
        <v>69</v>
      </c>
      <c r="AS122">
        <v>17</v>
      </c>
      <c r="AT122">
        <v>2</v>
      </c>
      <c r="AU122">
        <v>2.1409999999999998E-2</v>
      </c>
      <c r="AV122">
        <v>-2.96E-3</v>
      </c>
      <c r="AW122">
        <v>9.5880000000000007E-2</v>
      </c>
      <c r="AX122">
        <v>-1.272E-2</v>
      </c>
      <c r="AY122">
        <v>3.0999999999999999E-3</v>
      </c>
      <c r="AZ122">
        <v>-7.6000000000000004E-4</v>
      </c>
      <c r="BA122">
        <v>3.236E-2</v>
      </c>
      <c r="BB122">
        <v>1</v>
      </c>
      <c r="BC122" t="s">
        <v>70</v>
      </c>
      <c r="BD122">
        <v>0.13600000000000001</v>
      </c>
      <c r="BE122">
        <v>0.13600000000000001</v>
      </c>
      <c r="BF122" t="s">
        <v>139</v>
      </c>
      <c r="BG122">
        <v>-4.49438202247191E-2</v>
      </c>
      <c r="BI122">
        <v>3.236E-2</v>
      </c>
      <c r="BJ122">
        <v>-4.49438202247191E-2</v>
      </c>
    </row>
    <row r="123" spans="1:62">
      <c r="A123">
        <v>3997</v>
      </c>
      <c r="B123" t="s">
        <v>3955</v>
      </c>
      <c r="D123" t="s">
        <v>60</v>
      </c>
      <c r="E123">
        <v>4043574</v>
      </c>
      <c r="F123">
        <v>4045229</v>
      </c>
      <c r="G123" t="s">
        <v>3957</v>
      </c>
      <c r="H123">
        <v>552</v>
      </c>
      <c r="I123" t="s">
        <v>85</v>
      </c>
      <c r="J123">
        <v>4</v>
      </c>
      <c r="K123" t="str">
        <f>HYPERLINK("Gene3997-zp_tree_all.dnd", "Gene3997-tree")</f>
        <v>Gene3997-tree</v>
      </c>
      <c r="L123">
        <v>2</v>
      </c>
      <c r="M123">
        <v>2</v>
      </c>
      <c r="N123">
        <v>2</v>
      </c>
      <c r="O123">
        <v>2</v>
      </c>
      <c r="P123">
        <v>0.5</v>
      </c>
      <c r="Q123" t="s">
        <v>124</v>
      </c>
      <c r="R123" t="s">
        <v>124</v>
      </c>
      <c r="S123" t="s">
        <v>66</v>
      </c>
      <c r="T123" t="s">
        <v>66</v>
      </c>
      <c r="U123">
        <v>0</v>
      </c>
      <c r="V123">
        <v>0</v>
      </c>
      <c r="W123">
        <v>9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8</v>
      </c>
      <c r="AH123">
        <v>0</v>
      </c>
      <c r="AI123">
        <v>4</v>
      </c>
      <c r="AJ123">
        <v>1</v>
      </c>
      <c r="AK123">
        <v>81</v>
      </c>
      <c r="AL123">
        <v>9</v>
      </c>
      <c r="AM123">
        <v>9</v>
      </c>
      <c r="AN123">
        <v>1</v>
      </c>
      <c r="AO123" t="s">
        <v>3958</v>
      </c>
      <c r="AP123" t="s">
        <v>3959</v>
      </c>
      <c r="AQ123">
        <v>4.5999999999999999E-2</v>
      </c>
      <c r="AR123" t="s">
        <v>69</v>
      </c>
      <c r="AS123">
        <v>90</v>
      </c>
      <c r="AT123">
        <v>10</v>
      </c>
      <c r="AU123">
        <v>3.0800000000000001E-2</v>
      </c>
      <c r="AV123">
        <v>-7.1500000000000001E-3</v>
      </c>
      <c r="AW123">
        <v>0.13238</v>
      </c>
      <c r="AX123">
        <v>-3.202E-2</v>
      </c>
      <c r="AY123">
        <v>4.2199999999999998E-3</v>
      </c>
      <c r="AZ123">
        <v>-1.1199999999999999E-3</v>
      </c>
      <c r="BA123">
        <v>3.1879999999999999E-2</v>
      </c>
      <c r="BB123">
        <v>1</v>
      </c>
      <c r="BC123" t="s">
        <v>70</v>
      </c>
      <c r="BD123">
        <v>-0.48</v>
      </c>
      <c r="BE123">
        <v>-0.67600000000000005</v>
      </c>
      <c r="BF123" t="s">
        <v>139</v>
      </c>
      <c r="BG123">
        <v>-0.102652825836216</v>
      </c>
      <c r="BI123">
        <v>3.1879999999999999E-2</v>
      </c>
      <c r="BJ123">
        <v>-0.102652825836216</v>
      </c>
    </row>
    <row r="124" spans="1:62">
      <c r="A124">
        <v>591</v>
      </c>
      <c r="B124" t="s">
        <v>790</v>
      </c>
      <c r="D124" t="s">
        <v>66</v>
      </c>
      <c r="E124">
        <v>625128</v>
      </c>
      <c r="F124">
        <v>626291</v>
      </c>
      <c r="G124" t="s">
        <v>792</v>
      </c>
      <c r="H124">
        <v>388</v>
      </c>
      <c r="I124" t="s">
        <v>63</v>
      </c>
      <c r="J124">
        <v>5</v>
      </c>
      <c r="K124" t="str">
        <f>HYPERLINK("Gene591-zp_tree_all.dnd", "Gene591-tree")</f>
        <v>Gene591-tree</v>
      </c>
      <c r="L124">
        <v>2</v>
      </c>
      <c r="M124">
        <v>3</v>
      </c>
      <c r="N124">
        <v>2</v>
      </c>
      <c r="O124">
        <v>3</v>
      </c>
      <c r="P124">
        <v>0.6</v>
      </c>
      <c r="Q124" t="s">
        <v>124</v>
      </c>
      <c r="R124" t="s">
        <v>86</v>
      </c>
      <c r="S124" t="s">
        <v>66</v>
      </c>
      <c r="T124" t="s">
        <v>66</v>
      </c>
      <c r="U124">
        <v>0</v>
      </c>
      <c r="V124">
        <v>0</v>
      </c>
      <c r="W124">
        <v>7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7</v>
      </c>
      <c r="AH124">
        <v>0</v>
      </c>
      <c r="AI124">
        <v>3</v>
      </c>
      <c r="AJ124">
        <v>2</v>
      </c>
      <c r="AK124">
        <v>37</v>
      </c>
      <c r="AL124">
        <v>5</v>
      </c>
      <c r="AM124">
        <v>28</v>
      </c>
      <c r="AN124">
        <v>2</v>
      </c>
      <c r="AO124" t="s">
        <v>793</v>
      </c>
      <c r="AP124" t="s">
        <v>794</v>
      </c>
      <c r="AQ124">
        <v>0.66400000000000003</v>
      </c>
      <c r="AR124" t="s">
        <v>69</v>
      </c>
      <c r="AS124">
        <v>65</v>
      </c>
      <c r="AT124">
        <v>7</v>
      </c>
      <c r="AU124">
        <v>2.93E-2</v>
      </c>
      <c r="AV124">
        <v>-5.0600000000000003E-3</v>
      </c>
      <c r="AW124">
        <v>0.11613</v>
      </c>
      <c r="AX124">
        <v>-2.112E-2</v>
      </c>
      <c r="AY124">
        <v>3.6900000000000001E-3</v>
      </c>
      <c r="AZ124">
        <v>-6.8999999999999997E-4</v>
      </c>
      <c r="BA124">
        <v>3.1789999999999999E-2</v>
      </c>
      <c r="BB124">
        <v>1</v>
      </c>
      <c r="BC124" t="s">
        <v>70</v>
      </c>
      <c r="BD124">
        <v>0.224</v>
      </c>
      <c r="BE124">
        <v>0.11</v>
      </c>
      <c r="BF124" t="s">
        <v>139</v>
      </c>
      <c r="BG124">
        <v>-1.85185185185185E-2</v>
      </c>
      <c r="BI124">
        <v>3.1789999999999999E-2</v>
      </c>
      <c r="BJ124">
        <v>-1.85185185185185E-2</v>
      </c>
    </row>
    <row r="125" spans="1:62">
      <c r="A125">
        <v>883</v>
      </c>
      <c r="B125" t="s">
        <v>1012</v>
      </c>
      <c r="D125" t="s">
        <v>66</v>
      </c>
      <c r="E125">
        <v>944962</v>
      </c>
      <c r="F125">
        <v>945312</v>
      </c>
      <c r="G125" t="s">
        <v>74</v>
      </c>
      <c r="H125">
        <v>117</v>
      </c>
      <c r="I125" t="s">
        <v>85</v>
      </c>
      <c r="J125">
        <v>4</v>
      </c>
      <c r="K125" t="str">
        <f>HYPERLINK("Gene883-zp_tree_all.dnd", "Gene883-tree")</f>
        <v>Gene883-tree</v>
      </c>
      <c r="L125">
        <v>3</v>
      </c>
      <c r="M125">
        <v>1</v>
      </c>
      <c r="N125">
        <v>3</v>
      </c>
      <c r="O125">
        <v>1</v>
      </c>
      <c r="P125">
        <v>0.25</v>
      </c>
      <c r="Q125" t="s">
        <v>86</v>
      </c>
      <c r="R125" t="s">
        <v>65</v>
      </c>
      <c r="S125" t="s">
        <v>66</v>
      </c>
      <c r="T125" t="s">
        <v>66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</v>
      </c>
      <c r="AH125">
        <v>0</v>
      </c>
      <c r="AI125">
        <v>4</v>
      </c>
      <c r="AJ125">
        <v>1</v>
      </c>
      <c r="AK125">
        <v>21</v>
      </c>
      <c r="AL125">
        <v>3</v>
      </c>
      <c r="AM125">
        <v>3</v>
      </c>
      <c r="AN125">
        <v>0</v>
      </c>
      <c r="AO125" t="s">
        <v>1014</v>
      </c>
      <c r="AP125" t="s">
        <v>68</v>
      </c>
      <c r="AQ125">
        <v>0.56200000000000006</v>
      </c>
      <c r="AR125" t="s">
        <v>69</v>
      </c>
      <c r="AS125">
        <v>24</v>
      </c>
      <c r="AT125">
        <v>3</v>
      </c>
      <c r="AU125">
        <v>3.7039999999999997E-2</v>
      </c>
      <c r="AV125">
        <v>-3.9699999999999996E-3</v>
      </c>
      <c r="AW125">
        <v>0.17398</v>
      </c>
      <c r="AX125">
        <v>-2.231E-2</v>
      </c>
      <c r="AY125">
        <v>5.47E-3</v>
      </c>
      <c r="AZ125">
        <v>-1.58E-3</v>
      </c>
      <c r="BA125">
        <v>3.1449999999999999E-2</v>
      </c>
      <c r="BB125">
        <v>1</v>
      </c>
      <c r="BC125" t="s">
        <v>70</v>
      </c>
      <c r="BD125">
        <v>-7.0999999999999994E-2</v>
      </c>
      <c r="BE125">
        <v>-7.0999999999999994E-2</v>
      </c>
      <c r="BF125" t="s">
        <v>139</v>
      </c>
      <c r="BG125">
        <v>-0.24242424242424199</v>
      </c>
      <c r="BI125">
        <v>3.1449999999999999E-2</v>
      </c>
      <c r="BJ125">
        <v>-0.24242424242424199</v>
      </c>
    </row>
    <row r="126" spans="1:62">
      <c r="A126">
        <v>864</v>
      </c>
      <c r="B126" t="s">
        <v>989</v>
      </c>
      <c r="D126" t="s">
        <v>66</v>
      </c>
      <c r="E126">
        <v>928115</v>
      </c>
      <c r="F126">
        <v>928264</v>
      </c>
      <c r="G126" t="s">
        <v>991</v>
      </c>
      <c r="H126">
        <v>50</v>
      </c>
      <c r="I126" t="s">
        <v>63</v>
      </c>
      <c r="J126">
        <v>5</v>
      </c>
      <c r="K126" t="str">
        <f>HYPERLINK("Gene864-zp_tree_all.dnd", "Gene864-tree")</f>
        <v>Gene864-tree</v>
      </c>
      <c r="L126">
        <v>4</v>
      </c>
      <c r="M126">
        <v>1</v>
      </c>
      <c r="N126">
        <v>3</v>
      </c>
      <c r="O126">
        <v>1</v>
      </c>
      <c r="P126">
        <v>0.25</v>
      </c>
      <c r="Q126" t="s">
        <v>112</v>
      </c>
      <c r="R126" t="s">
        <v>65</v>
      </c>
      <c r="S126" t="s">
        <v>66</v>
      </c>
      <c r="T126" t="s">
        <v>66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2</v>
      </c>
      <c r="AJ126">
        <v>1</v>
      </c>
      <c r="AK126">
        <v>4</v>
      </c>
      <c r="AL126">
        <v>1</v>
      </c>
      <c r="AM126">
        <v>3</v>
      </c>
      <c r="AN126">
        <v>0</v>
      </c>
      <c r="AO126" t="s">
        <v>992</v>
      </c>
      <c r="AP126" t="s">
        <v>68</v>
      </c>
      <c r="AQ126">
        <v>1.115</v>
      </c>
      <c r="AR126" t="s">
        <v>69</v>
      </c>
      <c r="AS126">
        <v>7</v>
      </c>
      <c r="AT126">
        <v>1</v>
      </c>
      <c r="AU126">
        <v>2.8340000000000001E-2</v>
      </c>
      <c r="AV126">
        <v>-4.6499999999999996E-3</v>
      </c>
      <c r="AW126">
        <v>0.13783000000000001</v>
      </c>
      <c r="AX126">
        <v>-2.63E-2</v>
      </c>
      <c r="AY126">
        <v>4.2900000000000004E-3</v>
      </c>
      <c r="AZ126">
        <v>-1.75E-3</v>
      </c>
      <c r="BA126">
        <v>3.1099999999999999E-2</v>
      </c>
      <c r="BB126">
        <v>1</v>
      </c>
      <c r="BC126" t="s">
        <v>70</v>
      </c>
      <c r="BD126">
        <v>0.28999999999999998</v>
      </c>
      <c r="BE126">
        <v>-0.747</v>
      </c>
      <c r="BF126" t="s">
        <v>139</v>
      </c>
      <c r="BG126">
        <v>-7.69230769230769E-2</v>
      </c>
      <c r="BI126">
        <v>3.1099999999999999E-2</v>
      </c>
      <c r="BJ126">
        <v>-7.69230769230769E-2</v>
      </c>
    </row>
    <row r="127" spans="1:62">
      <c r="A127">
        <v>1391</v>
      </c>
      <c r="B127" t="s">
        <v>1375</v>
      </c>
      <c r="D127" t="s">
        <v>66</v>
      </c>
      <c r="E127">
        <v>1433679</v>
      </c>
      <c r="F127">
        <v>1434461</v>
      </c>
      <c r="G127" t="s">
        <v>1377</v>
      </c>
      <c r="H127">
        <v>261</v>
      </c>
      <c r="I127" t="s">
        <v>63</v>
      </c>
      <c r="J127">
        <v>5</v>
      </c>
      <c r="K127" t="str">
        <f>HYPERLINK("Gene1391-zp_tree_all.dnd", "Gene1391-tree")</f>
        <v>Gene1391-tree</v>
      </c>
      <c r="L127">
        <v>4</v>
      </c>
      <c r="M127">
        <v>1</v>
      </c>
      <c r="N127">
        <v>4</v>
      </c>
      <c r="O127">
        <v>1</v>
      </c>
      <c r="P127">
        <v>0.2</v>
      </c>
      <c r="Q127" t="s">
        <v>64</v>
      </c>
      <c r="R127" t="s">
        <v>65</v>
      </c>
      <c r="S127" t="s">
        <v>66</v>
      </c>
      <c r="T127" t="s">
        <v>66</v>
      </c>
      <c r="U127">
        <v>0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4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5</v>
      </c>
      <c r="AJ127">
        <v>2</v>
      </c>
      <c r="AK127">
        <v>14</v>
      </c>
      <c r="AL127">
        <v>1</v>
      </c>
      <c r="AM127">
        <v>27</v>
      </c>
      <c r="AN127">
        <v>4</v>
      </c>
      <c r="AO127" t="s">
        <v>1378</v>
      </c>
      <c r="AP127" t="s">
        <v>1379</v>
      </c>
      <c r="AQ127">
        <v>0.28499999999999998</v>
      </c>
      <c r="AR127" t="s">
        <v>69</v>
      </c>
      <c r="AS127">
        <v>41</v>
      </c>
      <c r="AT127">
        <v>5</v>
      </c>
      <c r="AU127">
        <v>3.1029999999999999E-2</v>
      </c>
      <c r="AV127">
        <v>-5.9800000000000001E-3</v>
      </c>
      <c r="AW127">
        <v>0.14849000000000001</v>
      </c>
      <c r="AX127">
        <v>-2.93E-2</v>
      </c>
      <c r="AY127">
        <v>4.5500000000000002E-3</v>
      </c>
      <c r="AZ127">
        <v>-8.8999999999999995E-4</v>
      </c>
      <c r="BA127">
        <v>3.0669999999999999E-2</v>
      </c>
      <c r="BB127">
        <v>1</v>
      </c>
      <c r="BC127" t="s">
        <v>70</v>
      </c>
      <c r="BD127">
        <v>0.94199999999999995</v>
      </c>
      <c r="BE127">
        <v>0.76700000000000002</v>
      </c>
      <c r="BF127" t="s">
        <v>139</v>
      </c>
      <c r="BG127">
        <v>-0.106508875739644</v>
      </c>
      <c r="BI127">
        <v>3.0669999999999999E-2</v>
      </c>
      <c r="BJ127">
        <v>-0.106508875739644</v>
      </c>
    </row>
    <row r="128" spans="1:62">
      <c r="A128">
        <v>1353</v>
      </c>
      <c r="B128" t="s">
        <v>1343</v>
      </c>
      <c r="D128" t="s">
        <v>66</v>
      </c>
      <c r="E128">
        <v>1397414</v>
      </c>
      <c r="F128">
        <v>1397743</v>
      </c>
      <c r="G128" t="s">
        <v>940</v>
      </c>
      <c r="H128">
        <v>110</v>
      </c>
      <c r="I128" t="s">
        <v>63</v>
      </c>
      <c r="J128">
        <v>5</v>
      </c>
      <c r="K128" t="str">
        <f>HYPERLINK("Gene1353-zp_tree_all.dnd", "Gene1353-tree")</f>
        <v>Gene1353-tree</v>
      </c>
      <c r="L128">
        <v>4</v>
      </c>
      <c r="M128">
        <v>1</v>
      </c>
      <c r="N128">
        <v>4</v>
      </c>
      <c r="O128">
        <v>1</v>
      </c>
      <c r="P128">
        <v>0.2</v>
      </c>
      <c r="Q128" t="s">
        <v>64</v>
      </c>
      <c r="R128" t="s">
        <v>65</v>
      </c>
      <c r="S128" t="s">
        <v>66</v>
      </c>
      <c r="T128" t="s">
        <v>66</v>
      </c>
      <c r="U128">
        <v>0</v>
      </c>
      <c r="V128">
        <v>0</v>
      </c>
      <c r="W128">
        <v>2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4</v>
      </c>
      <c r="AJ128">
        <v>1</v>
      </c>
      <c r="AK128">
        <v>10</v>
      </c>
      <c r="AL128">
        <v>1</v>
      </c>
      <c r="AM128">
        <v>7</v>
      </c>
      <c r="AN128">
        <v>1</v>
      </c>
      <c r="AO128" t="s">
        <v>1345</v>
      </c>
      <c r="AP128" t="s">
        <v>1346</v>
      </c>
      <c r="AQ128">
        <v>0.20899999999999999</v>
      </c>
      <c r="AR128" t="s">
        <v>69</v>
      </c>
      <c r="AS128">
        <v>17</v>
      </c>
      <c r="AT128">
        <v>2</v>
      </c>
      <c r="AU128">
        <v>2.7879999999999999E-2</v>
      </c>
      <c r="AV128">
        <v>-5.4200000000000003E-3</v>
      </c>
      <c r="AW128">
        <v>0.12853000000000001</v>
      </c>
      <c r="AX128">
        <v>-2.5139999999999999E-2</v>
      </c>
      <c r="AY128">
        <v>3.8899999999999998E-3</v>
      </c>
      <c r="AZ128">
        <v>-9.5E-4</v>
      </c>
      <c r="BA128">
        <v>3.023E-2</v>
      </c>
      <c r="BB128">
        <v>1</v>
      </c>
      <c r="BC128" t="s">
        <v>70</v>
      </c>
      <c r="BD128">
        <v>6.5000000000000002E-2</v>
      </c>
      <c r="BE128">
        <v>6.5000000000000002E-2</v>
      </c>
      <c r="BF128" t="s">
        <v>139</v>
      </c>
      <c r="BG128">
        <v>-0.183098591549295</v>
      </c>
      <c r="BI128">
        <v>3.023E-2</v>
      </c>
      <c r="BJ128">
        <v>-0.183098591549295</v>
      </c>
    </row>
    <row r="129" spans="1:62">
      <c r="A129">
        <v>960</v>
      </c>
      <c r="B129" t="s">
        <v>1066</v>
      </c>
      <c r="D129" t="s">
        <v>66</v>
      </c>
      <c r="E129">
        <v>1028236</v>
      </c>
      <c r="F129">
        <v>1028523</v>
      </c>
      <c r="G129" t="s">
        <v>1068</v>
      </c>
      <c r="H129">
        <v>96</v>
      </c>
      <c r="I129" t="s">
        <v>63</v>
      </c>
      <c r="J129">
        <v>5</v>
      </c>
      <c r="K129" t="str">
        <f>HYPERLINK("Gene960-zp_tree_all.dnd", "Gene960-tree")</f>
        <v>Gene960-tree</v>
      </c>
      <c r="L129">
        <v>5</v>
      </c>
      <c r="M129">
        <v>0</v>
      </c>
      <c r="N129">
        <v>4</v>
      </c>
      <c r="O129">
        <v>0</v>
      </c>
      <c r="P129">
        <v>0</v>
      </c>
      <c r="Q129" t="s">
        <v>135</v>
      </c>
      <c r="R129" t="s">
        <v>66</v>
      </c>
      <c r="S129" t="s">
        <v>66</v>
      </c>
      <c r="T129" t="s">
        <v>66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4</v>
      </c>
      <c r="AJ129">
        <v>1</v>
      </c>
      <c r="AK129">
        <v>11</v>
      </c>
      <c r="AL129">
        <v>0</v>
      </c>
      <c r="AM129">
        <v>8</v>
      </c>
      <c r="AN129">
        <v>1</v>
      </c>
      <c r="AO129" t="s">
        <v>68</v>
      </c>
      <c r="AP129" t="s">
        <v>1069</v>
      </c>
      <c r="AQ129">
        <v>0</v>
      </c>
      <c r="AR129" t="s">
        <v>69</v>
      </c>
      <c r="AS129">
        <v>19</v>
      </c>
      <c r="AT129">
        <v>1</v>
      </c>
      <c r="AU129">
        <v>3.8769999999999999E-2</v>
      </c>
      <c r="AV129">
        <v>-5.7499999999999999E-3</v>
      </c>
      <c r="AW129">
        <v>0.15745999999999999</v>
      </c>
      <c r="AX129">
        <v>-2.3400000000000001E-2</v>
      </c>
      <c r="AY129">
        <v>4.6600000000000001E-3</v>
      </c>
      <c r="AZ129">
        <v>-1.3500000000000001E-3</v>
      </c>
      <c r="BA129">
        <v>2.962E-2</v>
      </c>
      <c r="BB129">
        <v>1</v>
      </c>
      <c r="BC129" t="s">
        <v>70</v>
      </c>
      <c r="BD129">
        <v>0.63100000000000001</v>
      </c>
      <c r="BE129">
        <v>0.22700000000000001</v>
      </c>
      <c r="BF129" t="s">
        <v>139</v>
      </c>
      <c r="BG129">
        <v>-2.2900763358778602E-2</v>
      </c>
      <c r="BI129">
        <v>2.962E-2</v>
      </c>
      <c r="BJ129">
        <v>-2.2900763358778602E-2</v>
      </c>
    </row>
    <row r="130" spans="1:62">
      <c r="A130">
        <v>2976</v>
      </c>
      <c r="B130" t="s">
        <v>2966</v>
      </c>
      <c r="D130" t="s">
        <v>60</v>
      </c>
      <c r="E130">
        <v>2995067</v>
      </c>
      <c r="F130">
        <v>2995594</v>
      </c>
      <c r="G130" t="s">
        <v>2968</v>
      </c>
      <c r="H130">
        <v>176</v>
      </c>
      <c r="I130" t="s">
        <v>63</v>
      </c>
      <c r="J130">
        <v>5</v>
      </c>
      <c r="K130" t="str">
        <f>HYPERLINK("Gene2976-zp_tree_all.dnd", "Gene2976-tree")</f>
        <v>Gene2976-tree</v>
      </c>
      <c r="L130">
        <v>5</v>
      </c>
      <c r="M130">
        <v>0</v>
      </c>
      <c r="N130">
        <v>5</v>
      </c>
      <c r="O130">
        <v>0</v>
      </c>
      <c r="P130">
        <v>0</v>
      </c>
      <c r="Q130" t="s">
        <v>96</v>
      </c>
      <c r="R130" t="s">
        <v>66</v>
      </c>
      <c r="S130" t="s">
        <v>66</v>
      </c>
      <c r="T130" t="s">
        <v>66</v>
      </c>
      <c r="U130">
        <v>0</v>
      </c>
      <c r="V130">
        <v>0</v>
      </c>
      <c r="W130">
        <v>3</v>
      </c>
      <c r="X130">
        <v>0</v>
      </c>
      <c r="Y130">
        <v>0</v>
      </c>
      <c r="Z130">
        <v>0</v>
      </c>
      <c r="AA130">
        <v>0</v>
      </c>
      <c r="AB130">
        <v>3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5</v>
      </c>
      <c r="AJ130">
        <v>2</v>
      </c>
      <c r="AK130">
        <v>7</v>
      </c>
      <c r="AL130">
        <v>0</v>
      </c>
      <c r="AM130">
        <v>18</v>
      </c>
      <c r="AN130">
        <v>3</v>
      </c>
      <c r="AO130" t="s">
        <v>68</v>
      </c>
      <c r="AP130" t="s">
        <v>2969</v>
      </c>
      <c r="AQ130">
        <v>1.272</v>
      </c>
      <c r="AR130" t="s">
        <v>69</v>
      </c>
      <c r="AS130">
        <v>25</v>
      </c>
      <c r="AT130">
        <v>3</v>
      </c>
      <c r="AU130">
        <v>2.9170000000000001E-2</v>
      </c>
      <c r="AV130">
        <v>-6.0899999999999999E-3</v>
      </c>
      <c r="AW130">
        <v>0.14557</v>
      </c>
      <c r="AX130">
        <v>-3.1660000000000001E-2</v>
      </c>
      <c r="AY130">
        <v>4.3E-3</v>
      </c>
      <c r="AZ130">
        <v>-7.6999999999999996E-4</v>
      </c>
      <c r="BA130">
        <v>2.9510000000000002E-2</v>
      </c>
      <c r="BB130">
        <v>1</v>
      </c>
      <c r="BC130" t="s">
        <v>70</v>
      </c>
      <c r="BD130">
        <v>1.089</v>
      </c>
      <c r="BE130">
        <v>1.089</v>
      </c>
      <c r="BF130" t="s">
        <v>139</v>
      </c>
      <c r="BG130">
        <v>-9.9526066350710901E-2</v>
      </c>
      <c r="BI130">
        <v>2.9510000000000002E-2</v>
      </c>
      <c r="BJ130">
        <v>-9.9526066350710901E-2</v>
      </c>
    </row>
    <row r="131" spans="1:62">
      <c r="A131">
        <v>3357</v>
      </c>
      <c r="B131" t="s">
        <v>3381</v>
      </c>
      <c r="D131" t="s">
        <v>60</v>
      </c>
      <c r="E131">
        <v>3385724</v>
      </c>
      <c r="F131">
        <v>3386398</v>
      </c>
      <c r="G131" t="s">
        <v>3383</v>
      </c>
      <c r="H131">
        <v>225</v>
      </c>
      <c r="I131" t="s">
        <v>106</v>
      </c>
      <c r="J131">
        <v>4</v>
      </c>
      <c r="K131" t="str">
        <f>HYPERLINK("Gene3357-zp_tree_all.dnd", "Gene3357-tree")</f>
        <v>Gene3357-tree</v>
      </c>
      <c r="L131">
        <v>3</v>
      </c>
      <c r="M131">
        <v>1</v>
      </c>
      <c r="N131">
        <v>3</v>
      </c>
      <c r="O131">
        <v>1</v>
      </c>
      <c r="P131">
        <v>0.25</v>
      </c>
      <c r="Q131" t="s">
        <v>86</v>
      </c>
      <c r="R131" t="s">
        <v>65</v>
      </c>
      <c r="S131" t="s">
        <v>66</v>
      </c>
      <c r="T131" t="s">
        <v>66</v>
      </c>
      <c r="U131">
        <v>0</v>
      </c>
      <c r="V131">
        <v>0</v>
      </c>
      <c r="W131">
        <v>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3</v>
      </c>
      <c r="AH131">
        <v>0</v>
      </c>
      <c r="AI131">
        <v>4</v>
      </c>
      <c r="AJ131">
        <v>1</v>
      </c>
      <c r="AK131">
        <v>26</v>
      </c>
      <c r="AL131">
        <v>3</v>
      </c>
      <c r="AM131">
        <v>3</v>
      </c>
      <c r="AN131">
        <v>0</v>
      </c>
      <c r="AO131" t="s">
        <v>3384</v>
      </c>
      <c r="AP131" t="s">
        <v>68</v>
      </c>
      <c r="AQ131">
        <v>0.42199999999999999</v>
      </c>
      <c r="AR131" t="s">
        <v>69</v>
      </c>
      <c r="AS131">
        <v>29</v>
      </c>
      <c r="AT131">
        <v>3</v>
      </c>
      <c r="AU131">
        <v>2.3949999999999999E-2</v>
      </c>
      <c r="AV131">
        <v>-6.6E-3</v>
      </c>
      <c r="AW131">
        <v>0.10154000000000001</v>
      </c>
      <c r="AX131">
        <v>-2.7650000000000001E-2</v>
      </c>
      <c r="AY131">
        <v>2.9199999999999999E-3</v>
      </c>
      <c r="AZ131">
        <v>-1.1900000000000001E-3</v>
      </c>
      <c r="BA131">
        <v>2.8740000000000002E-2</v>
      </c>
      <c r="BB131">
        <v>1</v>
      </c>
      <c r="BC131" t="s">
        <v>70</v>
      </c>
      <c r="BD131">
        <v>-0.45400000000000001</v>
      </c>
      <c r="BE131">
        <v>-0.76</v>
      </c>
      <c r="BF131" t="s">
        <v>139</v>
      </c>
      <c r="BG131">
        <v>-7.0967741935483802E-2</v>
      </c>
      <c r="BI131">
        <v>2.8740000000000002E-2</v>
      </c>
      <c r="BJ131">
        <v>-7.0967741935483802E-2</v>
      </c>
    </row>
    <row r="132" spans="1:62">
      <c r="A132">
        <v>1166</v>
      </c>
      <c r="B132" t="s">
        <v>1239</v>
      </c>
      <c r="D132" t="s">
        <v>66</v>
      </c>
      <c r="E132">
        <v>1234513</v>
      </c>
      <c r="F132">
        <v>1234908</v>
      </c>
      <c r="G132" t="s">
        <v>1241</v>
      </c>
      <c r="H132">
        <v>132</v>
      </c>
      <c r="I132" t="s">
        <v>63</v>
      </c>
      <c r="J132">
        <v>5</v>
      </c>
      <c r="K132" t="str">
        <f>HYPERLINK("Gene1166-zp_tree_all.dnd", "Gene1166-tree")</f>
        <v>Gene1166-tree</v>
      </c>
      <c r="L132">
        <v>5</v>
      </c>
      <c r="M132">
        <v>0</v>
      </c>
      <c r="N132">
        <v>5</v>
      </c>
      <c r="O132">
        <v>0</v>
      </c>
      <c r="P132">
        <v>0</v>
      </c>
      <c r="Q132" t="s">
        <v>96</v>
      </c>
      <c r="R132" t="s">
        <v>66</v>
      </c>
      <c r="S132" t="s">
        <v>66</v>
      </c>
      <c r="T132" t="s">
        <v>66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2</v>
      </c>
      <c r="AJ132">
        <v>2</v>
      </c>
      <c r="AK132">
        <v>3</v>
      </c>
      <c r="AL132">
        <v>0</v>
      </c>
      <c r="AM132">
        <v>9</v>
      </c>
      <c r="AN132">
        <v>1</v>
      </c>
      <c r="AO132" t="s">
        <v>68</v>
      </c>
      <c r="AP132" t="s">
        <v>1242</v>
      </c>
      <c r="AQ132">
        <v>0.872</v>
      </c>
      <c r="AR132" t="s">
        <v>69</v>
      </c>
      <c r="AS132">
        <v>12</v>
      </c>
      <c r="AT132">
        <v>1</v>
      </c>
      <c r="AU132">
        <v>1.7170000000000001E-2</v>
      </c>
      <c r="AV132">
        <v>-3.3500000000000001E-3</v>
      </c>
      <c r="AW132">
        <v>7.3910000000000003E-2</v>
      </c>
      <c r="AX132">
        <v>-1.426E-2</v>
      </c>
      <c r="AY132">
        <v>1.9599999999999999E-3</v>
      </c>
      <c r="AZ132">
        <v>-4.6999999999999999E-4</v>
      </c>
      <c r="BA132">
        <v>2.656E-2</v>
      </c>
      <c r="BB132">
        <v>1</v>
      </c>
      <c r="BC132" t="s">
        <v>70</v>
      </c>
      <c r="BD132">
        <v>1.306</v>
      </c>
      <c r="BE132">
        <v>1.306</v>
      </c>
      <c r="BF132" t="s">
        <v>139</v>
      </c>
      <c r="BG132">
        <v>-0.105263157894736</v>
      </c>
      <c r="BI132">
        <v>2.656E-2</v>
      </c>
      <c r="BJ132">
        <v>-0.105263157894736</v>
      </c>
    </row>
    <row r="133" spans="1:62">
      <c r="A133">
        <v>1244</v>
      </c>
      <c r="B133" t="s">
        <v>1279</v>
      </c>
      <c r="D133" t="s">
        <v>60</v>
      </c>
      <c r="E133">
        <v>1299074</v>
      </c>
      <c r="F133">
        <v>1300249</v>
      </c>
      <c r="G133" t="s">
        <v>1281</v>
      </c>
      <c r="H133">
        <v>392</v>
      </c>
      <c r="I133" t="s">
        <v>63</v>
      </c>
      <c r="J133">
        <v>5</v>
      </c>
      <c r="K133" t="str">
        <f>HYPERLINK("Gene1244-zp_tree_all.dnd", "Gene1244-tree")</f>
        <v>Gene1244-tree</v>
      </c>
      <c r="L133">
        <v>3</v>
      </c>
      <c r="M133">
        <v>2</v>
      </c>
      <c r="N133">
        <v>3</v>
      </c>
      <c r="O133">
        <v>2</v>
      </c>
      <c r="P133">
        <v>0.4</v>
      </c>
      <c r="Q133" t="s">
        <v>86</v>
      </c>
      <c r="R133" t="s">
        <v>124</v>
      </c>
      <c r="S133" t="s">
        <v>66</v>
      </c>
      <c r="T133" t="s">
        <v>66</v>
      </c>
      <c r="U133">
        <v>0</v>
      </c>
      <c r="V133">
        <v>0</v>
      </c>
      <c r="W133">
        <v>4</v>
      </c>
      <c r="X133">
        <v>0</v>
      </c>
      <c r="Y133">
        <v>0</v>
      </c>
      <c r="Z133">
        <v>0</v>
      </c>
      <c r="AA133">
        <v>0</v>
      </c>
      <c r="AB133">
        <v>2</v>
      </c>
      <c r="AC133">
        <v>0</v>
      </c>
      <c r="AD133">
        <v>0</v>
      </c>
      <c r="AE133">
        <v>0</v>
      </c>
      <c r="AF133">
        <v>0</v>
      </c>
      <c r="AG133">
        <v>2</v>
      </c>
      <c r="AH133">
        <v>0</v>
      </c>
      <c r="AI133">
        <v>5</v>
      </c>
      <c r="AJ133">
        <v>2</v>
      </c>
      <c r="AK133">
        <v>33</v>
      </c>
      <c r="AL133">
        <v>2</v>
      </c>
      <c r="AM133">
        <v>20</v>
      </c>
      <c r="AN133">
        <v>2</v>
      </c>
      <c r="AO133" t="s">
        <v>1282</v>
      </c>
      <c r="AP133" t="s">
        <v>1283</v>
      </c>
      <c r="AQ133">
        <v>0.38300000000000001</v>
      </c>
      <c r="AR133" t="s">
        <v>69</v>
      </c>
      <c r="AS133">
        <v>53</v>
      </c>
      <c r="AT133">
        <v>4</v>
      </c>
      <c r="AU133">
        <v>2.1770000000000001E-2</v>
      </c>
      <c r="AV133">
        <v>-2.3E-3</v>
      </c>
      <c r="AW133">
        <v>8.5620000000000002E-2</v>
      </c>
      <c r="AX133">
        <v>-9.41E-3</v>
      </c>
      <c r="AY133">
        <v>2.2699999999999999E-3</v>
      </c>
      <c r="AZ133">
        <v>-4.2999999999999999E-4</v>
      </c>
      <c r="BA133">
        <v>2.6530000000000001E-2</v>
      </c>
      <c r="BB133">
        <v>1</v>
      </c>
      <c r="BC133" t="s">
        <v>70</v>
      </c>
      <c r="BD133">
        <v>4.7E-2</v>
      </c>
      <c r="BE133">
        <v>4.7E-2</v>
      </c>
      <c r="BF133" t="s">
        <v>139</v>
      </c>
      <c r="BG133">
        <v>1.5094339622641499E-2</v>
      </c>
      <c r="BI133">
        <v>2.6530000000000001E-2</v>
      </c>
      <c r="BJ133">
        <v>1.5094339622641499E-2</v>
      </c>
    </row>
    <row r="134" spans="1:62">
      <c r="A134">
        <v>2935</v>
      </c>
      <c r="B134" t="s">
        <v>2897</v>
      </c>
      <c r="D134" t="s">
        <v>60</v>
      </c>
      <c r="E134">
        <v>2951490</v>
      </c>
      <c r="F134">
        <v>2951879</v>
      </c>
      <c r="G134" t="s">
        <v>2899</v>
      </c>
      <c r="H134">
        <v>130</v>
      </c>
      <c r="I134" t="s">
        <v>63</v>
      </c>
      <c r="J134">
        <v>5</v>
      </c>
      <c r="K134" t="str">
        <f>HYPERLINK("Gene2935-zp_tree_all.dnd", "Gene2935-tree")</f>
        <v>Gene2935-tree</v>
      </c>
      <c r="L134">
        <v>2</v>
      </c>
      <c r="M134">
        <v>3</v>
      </c>
      <c r="N134">
        <v>2</v>
      </c>
      <c r="O134">
        <v>2</v>
      </c>
      <c r="P134">
        <v>0.5</v>
      </c>
      <c r="Q134" t="s">
        <v>124</v>
      </c>
      <c r="R134" t="s">
        <v>185</v>
      </c>
      <c r="S134">
        <v>0.30599999999999999</v>
      </c>
      <c r="T134" t="s">
        <v>69</v>
      </c>
      <c r="U134">
        <v>0</v>
      </c>
      <c r="V134">
        <v>0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</v>
      </c>
      <c r="AH134">
        <v>0</v>
      </c>
      <c r="AI134">
        <v>3</v>
      </c>
      <c r="AJ134">
        <v>1</v>
      </c>
      <c r="AK134">
        <v>6</v>
      </c>
      <c r="AL134">
        <v>1</v>
      </c>
      <c r="AM134">
        <v>12</v>
      </c>
      <c r="AN134">
        <v>1</v>
      </c>
      <c r="AO134" t="s">
        <v>2900</v>
      </c>
      <c r="AP134" t="s">
        <v>2901</v>
      </c>
      <c r="AQ134">
        <v>0.432</v>
      </c>
      <c r="AR134" t="s">
        <v>69</v>
      </c>
      <c r="AS134">
        <v>18</v>
      </c>
      <c r="AT134">
        <v>2</v>
      </c>
      <c r="AU134">
        <v>3.1440000000000003E-2</v>
      </c>
      <c r="AV134">
        <v>-6.6E-3</v>
      </c>
      <c r="AW134">
        <v>0.15179000000000001</v>
      </c>
      <c r="AX134">
        <v>-3.3669999999999999E-2</v>
      </c>
      <c r="AY134">
        <v>3.8400000000000001E-3</v>
      </c>
      <c r="AZ134">
        <v>-9.3000000000000005E-4</v>
      </c>
      <c r="BA134">
        <v>2.5309999999999999E-2</v>
      </c>
      <c r="BB134">
        <v>1</v>
      </c>
      <c r="BC134" t="s">
        <v>70</v>
      </c>
      <c r="BD134">
        <v>0.77</v>
      </c>
      <c r="BE134">
        <v>0.77</v>
      </c>
      <c r="BF134" t="s">
        <v>139</v>
      </c>
      <c r="BG134">
        <v>-7.3825503355704702E-2</v>
      </c>
      <c r="BI134">
        <v>2.5309999999999999E-2</v>
      </c>
      <c r="BJ134">
        <v>-7.3825503355704702E-2</v>
      </c>
    </row>
    <row r="135" spans="1:62">
      <c r="A135">
        <v>3946</v>
      </c>
      <c r="B135" t="s">
        <v>3919</v>
      </c>
      <c r="D135" t="s">
        <v>60</v>
      </c>
      <c r="E135">
        <v>3989232</v>
      </c>
      <c r="F135">
        <v>3989870</v>
      </c>
      <c r="G135" t="s">
        <v>74</v>
      </c>
      <c r="H135">
        <v>213</v>
      </c>
      <c r="I135" t="s">
        <v>2653</v>
      </c>
      <c r="J135">
        <v>4</v>
      </c>
      <c r="K135" t="str">
        <f>HYPERLINK("Gene3946-zp_tree_all.dnd", "Gene3946-tree")</f>
        <v>Gene3946-tree</v>
      </c>
      <c r="L135">
        <v>3</v>
      </c>
      <c r="M135">
        <v>1</v>
      </c>
      <c r="N135">
        <v>3</v>
      </c>
      <c r="O135">
        <v>1</v>
      </c>
      <c r="P135">
        <v>0.25</v>
      </c>
      <c r="Q135" t="s">
        <v>86</v>
      </c>
      <c r="R135" t="s">
        <v>65</v>
      </c>
      <c r="S135" t="s">
        <v>66</v>
      </c>
      <c r="T135" t="s">
        <v>66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3</v>
      </c>
      <c r="AJ135">
        <v>1</v>
      </c>
      <c r="AK135">
        <v>15</v>
      </c>
      <c r="AL135">
        <v>1</v>
      </c>
      <c r="AM135">
        <v>9</v>
      </c>
      <c r="AN135">
        <v>1</v>
      </c>
      <c r="AO135" t="s">
        <v>3921</v>
      </c>
      <c r="AP135" t="s">
        <v>3922</v>
      </c>
      <c r="AQ135">
        <v>0.441</v>
      </c>
      <c r="AR135" t="s">
        <v>69</v>
      </c>
      <c r="AS135">
        <v>24</v>
      </c>
      <c r="AT135">
        <v>2</v>
      </c>
      <c r="AU135">
        <v>2.2270000000000002E-2</v>
      </c>
      <c r="AV135">
        <v>-3.98E-3</v>
      </c>
      <c r="AW135">
        <v>9.6140000000000003E-2</v>
      </c>
      <c r="AX135">
        <v>-1.7579999999999998E-2</v>
      </c>
      <c r="AY135">
        <v>2.3900000000000002E-3</v>
      </c>
      <c r="AZ135">
        <v>-5.6999999999999998E-4</v>
      </c>
      <c r="BA135">
        <v>2.4809999999999999E-2</v>
      </c>
      <c r="BB135">
        <v>1</v>
      </c>
      <c r="BC135" t="s">
        <v>70</v>
      </c>
      <c r="BD135">
        <v>0.85099999999999998</v>
      </c>
      <c r="BE135">
        <v>-1.0999999999999999E-2</v>
      </c>
      <c r="BF135" t="s">
        <v>139</v>
      </c>
      <c r="BG135">
        <v>-0.140350877192982</v>
      </c>
      <c r="BI135">
        <v>2.4809999999999999E-2</v>
      </c>
      <c r="BJ135">
        <v>-0.140350877192982</v>
      </c>
    </row>
    <row r="136" spans="1:62">
      <c r="A136">
        <v>2558</v>
      </c>
      <c r="B136" t="s">
        <v>2521</v>
      </c>
      <c r="D136" t="s">
        <v>60</v>
      </c>
      <c r="E136">
        <v>2589123</v>
      </c>
      <c r="F136">
        <v>2590253</v>
      </c>
      <c r="G136" t="s">
        <v>2523</v>
      </c>
      <c r="H136">
        <v>377</v>
      </c>
      <c r="I136" t="s">
        <v>63</v>
      </c>
      <c r="J136">
        <v>5</v>
      </c>
      <c r="K136" t="str">
        <f>HYPERLINK("Gene2558-zp_tree_all.dnd", "Gene2558-tree")</f>
        <v>Gene2558-tree</v>
      </c>
      <c r="L136">
        <v>4</v>
      </c>
      <c r="M136">
        <v>1</v>
      </c>
      <c r="N136">
        <v>4</v>
      </c>
      <c r="O136">
        <v>1</v>
      </c>
      <c r="P136">
        <v>0.2</v>
      </c>
      <c r="Q136" t="s">
        <v>64</v>
      </c>
      <c r="R136" t="s">
        <v>65</v>
      </c>
      <c r="S136" t="s">
        <v>66</v>
      </c>
      <c r="T136" t="s">
        <v>66</v>
      </c>
      <c r="U136">
        <v>0</v>
      </c>
      <c r="V136">
        <v>0</v>
      </c>
      <c r="W136">
        <v>5</v>
      </c>
      <c r="X136">
        <v>0</v>
      </c>
      <c r="Y136">
        <v>0</v>
      </c>
      <c r="Z136">
        <v>0</v>
      </c>
      <c r="AA136">
        <v>0</v>
      </c>
      <c r="AB136">
        <v>2</v>
      </c>
      <c r="AC136">
        <v>0</v>
      </c>
      <c r="AD136">
        <v>0</v>
      </c>
      <c r="AE136">
        <v>0</v>
      </c>
      <c r="AF136">
        <v>0</v>
      </c>
      <c r="AG136">
        <v>3</v>
      </c>
      <c r="AH136">
        <v>0</v>
      </c>
      <c r="AI136">
        <v>5</v>
      </c>
      <c r="AJ136">
        <v>2</v>
      </c>
      <c r="AK136">
        <v>36</v>
      </c>
      <c r="AL136">
        <v>3</v>
      </c>
      <c r="AM136">
        <v>38</v>
      </c>
      <c r="AN136">
        <v>3</v>
      </c>
      <c r="AO136" t="s">
        <v>2524</v>
      </c>
      <c r="AP136" t="s">
        <v>2525</v>
      </c>
      <c r="AQ136">
        <v>4.9000000000000002E-2</v>
      </c>
      <c r="AR136" t="s">
        <v>69</v>
      </c>
      <c r="AS136">
        <v>74</v>
      </c>
      <c r="AT136">
        <v>6</v>
      </c>
      <c r="AU136">
        <v>3.4840000000000003E-2</v>
      </c>
      <c r="AV136">
        <v>-6.1999999999999998E-3</v>
      </c>
      <c r="AW136">
        <v>0.15476000000000001</v>
      </c>
      <c r="AX136">
        <v>-2.8219999999999999E-2</v>
      </c>
      <c r="AY136">
        <v>3.49E-3</v>
      </c>
      <c r="AZ136">
        <v>-8.5999999999999998E-4</v>
      </c>
      <c r="BA136">
        <v>2.257E-2</v>
      </c>
      <c r="BB136">
        <v>1</v>
      </c>
      <c r="BC136" t="s">
        <v>70</v>
      </c>
      <c r="BD136">
        <v>0.501</v>
      </c>
      <c r="BE136">
        <v>0.21299999999999999</v>
      </c>
      <c r="BF136" t="s">
        <v>139</v>
      </c>
      <c r="BG136">
        <v>-7.22433460076045E-2</v>
      </c>
      <c r="BI136">
        <v>2.257E-2</v>
      </c>
      <c r="BJ136">
        <v>-7.22433460076045E-2</v>
      </c>
    </row>
    <row r="137" spans="1:62">
      <c r="A137">
        <v>577</v>
      </c>
      <c r="B137" t="s">
        <v>780</v>
      </c>
      <c r="D137" t="s">
        <v>66</v>
      </c>
      <c r="E137">
        <v>612194</v>
      </c>
      <c r="F137">
        <v>612820</v>
      </c>
      <c r="G137" t="s">
        <v>782</v>
      </c>
      <c r="H137">
        <v>209</v>
      </c>
      <c r="I137" t="s">
        <v>85</v>
      </c>
      <c r="J137">
        <v>4</v>
      </c>
      <c r="K137" t="str">
        <f>HYPERLINK("Gene577-zp_tree_all.dnd", "Gene577-tree")</f>
        <v>Gene577-tree</v>
      </c>
      <c r="L137">
        <v>3</v>
      </c>
      <c r="M137">
        <v>1</v>
      </c>
      <c r="N137">
        <v>3</v>
      </c>
      <c r="O137">
        <v>1</v>
      </c>
      <c r="P137">
        <v>0.25</v>
      </c>
      <c r="Q137" t="s">
        <v>86</v>
      </c>
      <c r="R137" t="s">
        <v>65</v>
      </c>
      <c r="S137" t="s">
        <v>66</v>
      </c>
      <c r="T137" t="s">
        <v>66</v>
      </c>
      <c r="U137">
        <v>0</v>
      </c>
      <c r="V137">
        <v>0</v>
      </c>
      <c r="W137">
        <v>2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4</v>
      </c>
      <c r="AJ137">
        <v>1</v>
      </c>
      <c r="AK137">
        <v>29</v>
      </c>
      <c r="AL137">
        <v>1</v>
      </c>
      <c r="AM137">
        <v>1</v>
      </c>
      <c r="AN137">
        <v>1</v>
      </c>
      <c r="AO137" t="s">
        <v>783</v>
      </c>
      <c r="AP137" t="s">
        <v>784</v>
      </c>
      <c r="AQ137">
        <v>14.411</v>
      </c>
      <c r="AR137" t="s">
        <v>69</v>
      </c>
      <c r="AS137">
        <v>30</v>
      </c>
      <c r="AT137">
        <v>2</v>
      </c>
      <c r="AU137">
        <v>2.4719999999999999E-2</v>
      </c>
      <c r="AV137">
        <v>-5.3699999999999998E-3</v>
      </c>
      <c r="AW137">
        <v>0.10826</v>
      </c>
      <c r="AX137">
        <v>-2.7289999999999998E-2</v>
      </c>
      <c r="AY137">
        <v>2.4299999999999999E-3</v>
      </c>
      <c r="AZ137">
        <v>-4.2000000000000002E-4</v>
      </c>
      <c r="BA137">
        <v>2.2450000000000001E-2</v>
      </c>
      <c r="BB137">
        <v>1</v>
      </c>
      <c r="BC137" t="s">
        <v>70</v>
      </c>
      <c r="BD137">
        <v>-0.20799999999999999</v>
      </c>
      <c r="BE137">
        <v>-0.53400000000000003</v>
      </c>
      <c r="BF137" t="s">
        <v>139</v>
      </c>
      <c r="BG137">
        <v>3.1141868512110701E-2</v>
      </c>
      <c r="BI137">
        <v>2.2450000000000001E-2</v>
      </c>
      <c r="BJ137">
        <v>3.1141868512110701E-2</v>
      </c>
    </row>
    <row r="138" spans="1:62">
      <c r="A138">
        <v>3428</v>
      </c>
      <c r="B138" t="s">
        <v>3451</v>
      </c>
      <c r="D138" t="s">
        <v>60</v>
      </c>
      <c r="E138">
        <v>3457615</v>
      </c>
      <c r="F138">
        <v>3457938</v>
      </c>
      <c r="G138" t="s">
        <v>3453</v>
      </c>
      <c r="H138">
        <v>108</v>
      </c>
      <c r="I138" t="s">
        <v>2653</v>
      </c>
      <c r="J138">
        <v>4</v>
      </c>
      <c r="K138" t="str">
        <f>HYPERLINK("Gene3428-zp_tree_all.dnd", "Gene3428-tree")</f>
        <v>Gene3428-tree</v>
      </c>
      <c r="L138">
        <v>4</v>
      </c>
      <c r="M138">
        <v>0</v>
      </c>
      <c r="N138">
        <v>4</v>
      </c>
      <c r="O138">
        <v>0</v>
      </c>
      <c r="P138">
        <v>0</v>
      </c>
      <c r="Q138" t="s">
        <v>64</v>
      </c>
      <c r="R138" t="s">
        <v>66</v>
      </c>
      <c r="S138" t="s">
        <v>66</v>
      </c>
      <c r="T138" t="s">
        <v>66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3</v>
      </c>
      <c r="AJ138">
        <v>1</v>
      </c>
      <c r="AK138">
        <v>11</v>
      </c>
      <c r="AL138">
        <v>0</v>
      </c>
      <c r="AM138">
        <v>4</v>
      </c>
      <c r="AN138">
        <v>1</v>
      </c>
      <c r="AO138" t="s">
        <v>68</v>
      </c>
      <c r="AP138" t="s">
        <v>3454</v>
      </c>
      <c r="AQ138">
        <v>0</v>
      </c>
      <c r="AR138" t="s">
        <v>69</v>
      </c>
      <c r="AS138">
        <v>15</v>
      </c>
      <c r="AT138">
        <v>1</v>
      </c>
      <c r="AU138">
        <v>2.6749999999999999E-2</v>
      </c>
      <c r="AV138">
        <v>-4.0899999999999999E-3</v>
      </c>
      <c r="AW138">
        <v>0.11899999999999999</v>
      </c>
      <c r="AX138">
        <v>-1.8499999999999999E-2</v>
      </c>
      <c r="AY138">
        <v>2.6700000000000001E-3</v>
      </c>
      <c r="AZ138">
        <v>-6.3000000000000003E-4</v>
      </c>
      <c r="BA138">
        <v>2.2419999999999999E-2</v>
      </c>
      <c r="BB138">
        <v>1</v>
      </c>
      <c r="BC138" t="s">
        <v>70</v>
      </c>
      <c r="BD138">
        <v>0.60299999999999998</v>
      </c>
      <c r="BE138">
        <v>-1.9E-2</v>
      </c>
      <c r="BF138" t="s">
        <v>139</v>
      </c>
      <c r="BG138">
        <v>-9.0909090909090898E-2</v>
      </c>
      <c r="BI138">
        <v>2.2419999999999999E-2</v>
      </c>
      <c r="BJ138">
        <v>-9.0909090909090898E-2</v>
      </c>
    </row>
    <row r="139" spans="1:62">
      <c r="A139">
        <v>1055</v>
      </c>
      <c r="B139" t="s">
        <v>1139</v>
      </c>
      <c r="D139" t="s">
        <v>66</v>
      </c>
      <c r="E139">
        <v>1120631</v>
      </c>
      <c r="F139">
        <v>1120828</v>
      </c>
      <c r="G139" t="s">
        <v>74</v>
      </c>
      <c r="H139">
        <v>66</v>
      </c>
      <c r="I139" t="s">
        <v>63</v>
      </c>
      <c r="J139">
        <v>5</v>
      </c>
      <c r="K139" t="str">
        <f>HYPERLINK("Gene1055-zp_tree_all.dnd", "Gene1055-tree")</f>
        <v>Gene1055-tree</v>
      </c>
      <c r="L139">
        <v>4</v>
      </c>
      <c r="M139">
        <v>1</v>
      </c>
      <c r="N139">
        <v>3</v>
      </c>
      <c r="O139">
        <v>1</v>
      </c>
      <c r="P139">
        <v>0.25</v>
      </c>
      <c r="Q139" t="s">
        <v>112</v>
      </c>
      <c r="R139" t="s">
        <v>65</v>
      </c>
      <c r="S139" t="s">
        <v>66</v>
      </c>
      <c r="T139" t="s">
        <v>66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4</v>
      </c>
      <c r="AJ139">
        <v>1</v>
      </c>
      <c r="AK139">
        <v>6</v>
      </c>
      <c r="AL139">
        <v>1</v>
      </c>
      <c r="AM139">
        <v>5</v>
      </c>
      <c r="AN139">
        <v>0</v>
      </c>
      <c r="AO139" t="s">
        <v>1141</v>
      </c>
      <c r="AP139" t="s">
        <v>68</v>
      </c>
      <c r="AQ139">
        <v>0.64200000000000002</v>
      </c>
      <c r="AR139" t="s">
        <v>69</v>
      </c>
      <c r="AS139">
        <v>11</v>
      </c>
      <c r="AT139">
        <v>1</v>
      </c>
      <c r="AU139">
        <v>3.3669999999999999E-2</v>
      </c>
      <c r="AV139">
        <v>-5.5399999999999998E-3</v>
      </c>
      <c r="AW139">
        <v>0.14831</v>
      </c>
      <c r="AX139">
        <v>-2.6880000000000001E-2</v>
      </c>
      <c r="AY139">
        <v>3.32E-3</v>
      </c>
      <c r="AZ139">
        <v>-9.6000000000000002E-4</v>
      </c>
      <c r="BA139">
        <v>2.2380000000000001E-2</v>
      </c>
      <c r="BB139">
        <v>1</v>
      </c>
      <c r="BC139" t="s">
        <v>70</v>
      </c>
      <c r="BD139">
        <v>0.84499999999999997</v>
      </c>
      <c r="BE139">
        <v>0.16400000000000001</v>
      </c>
      <c r="BF139" t="s">
        <v>139</v>
      </c>
      <c r="BG139">
        <v>-2.2222222222222199E-2</v>
      </c>
      <c r="BI139">
        <v>2.2380000000000001E-2</v>
      </c>
      <c r="BJ139">
        <v>-2.2222222222222199E-2</v>
      </c>
    </row>
    <row r="140" spans="1:62">
      <c r="A140">
        <v>4039</v>
      </c>
      <c r="B140" t="s">
        <v>4031</v>
      </c>
      <c r="D140" t="s">
        <v>60</v>
      </c>
      <c r="E140">
        <v>4085608</v>
      </c>
      <c r="F140">
        <v>4086537</v>
      </c>
      <c r="G140" t="s">
        <v>4033</v>
      </c>
      <c r="H140">
        <v>310</v>
      </c>
      <c r="I140" t="s">
        <v>85</v>
      </c>
      <c r="J140">
        <v>4</v>
      </c>
      <c r="K140" t="str">
        <f>HYPERLINK("Gene4039-zp_tree_all.dnd", "Gene4039-tree")</f>
        <v>Gene4039-tree</v>
      </c>
      <c r="L140">
        <v>2</v>
      </c>
      <c r="M140">
        <v>2</v>
      </c>
      <c r="N140">
        <v>2</v>
      </c>
      <c r="O140">
        <v>2</v>
      </c>
      <c r="P140">
        <v>0.5</v>
      </c>
      <c r="Q140" t="s">
        <v>124</v>
      </c>
      <c r="R140" t="s">
        <v>124</v>
      </c>
      <c r="S140" t="s">
        <v>66</v>
      </c>
      <c r="T140" t="s">
        <v>66</v>
      </c>
      <c r="U140">
        <v>0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4</v>
      </c>
      <c r="AH140">
        <v>0</v>
      </c>
      <c r="AI140">
        <v>4</v>
      </c>
      <c r="AJ140">
        <v>1</v>
      </c>
      <c r="AK140">
        <v>48</v>
      </c>
      <c r="AL140">
        <v>4</v>
      </c>
      <c r="AM140">
        <v>2</v>
      </c>
      <c r="AN140">
        <v>0</v>
      </c>
      <c r="AO140" t="s">
        <v>4034</v>
      </c>
      <c r="AP140" t="s">
        <v>68</v>
      </c>
      <c r="AQ140">
        <v>0.76100000000000001</v>
      </c>
      <c r="AR140" t="s">
        <v>69</v>
      </c>
      <c r="AS140">
        <v>50</v>
      </c>
      <c r="AT140">
        <v>4</v>
      </c>
      <c r="AU140">
        <v>2.7689999999999999E-2</v>
      </c>
      <c r="AV140">
        <v>-7.0499999999999998E-3</v>
      </c>
      <c r="AW140">
        <v>0.12945000000000001</v>
      </c>
      <c r="AX140">
        <v>-3.4479999999999997E-2</v>
      </c>
      <c r="AY140">
        <v>2.7799999999999999E-3</v>
      </c>
      <c r="AZ140">
        <v>-8.0000000000000004E-4</v>
      </c>
      <c r="BA140">
        <v>2.1489999999999999E-2</v>
      </c>
      <c r="BB140">
        <v>1</v>
      </c>
      <c r="BC140" t="s">
        <v>70</v>
      </c>
      <c r="BD140">
        <v>-0.20499999999999999</v>
      </c>
      <c r="BE140">
        <v>-0.80100000000000005</v>
      </c>
      <c r="BF140" t="s">
        <v>139</v>
      </c>
      <c r="BG140">
        <v>-2.77078085642317E-2</v>
      </c>
      <c r="BI140">
        <v>2.1489999999999999E-2</v>
      </c>
      <c r="BJ140">
        <v>-2.77078085642317E-2</v>
      </c>
    </row>
    <row r="141" spans="1:62">
      <c r="A141">
        <v>3344</v>
      </c>
      <c r="B141" t="s">
        <v>3364</v>
      </c>
      <c r="D141" t="s">
        <v>60</v>
      </c>
      <c r="E141">
        <v>3374001</v>
      </c>
      <c r="F141">
        <v>3374330</v>
      </c>
      <c r="G141" t="s">
        <v>74</v>
      </c>
      <c r="H141">
        <v>110</v>
      </c>
      <c r="I141" t="s">
        <v>63</v>
      </c>
      <c r="J141">
        <v>5</v>
      </c>
      <c r="K141" t="str">
        <f>HYPERLINK("Gene3344-zp_tree_all.dnd", "Gene3344-tree")</f>
        <v>Gene3344-tree</v>
      </c>
      <c r="L141">
        <v>3</v>
      </c>
      <c r="M141">
        <v>2</v>
      </c>
      <c r="N141">
        <v>3</v>
      </c>
      <c r="O141">
        <v>2</v>
      </c>
      <c r="P141">
        <v>0.4</v>
      </c>
      <c r="Q141" t="s">
        <v>86</v>
      </c>
      <c r="R141" t="s">
        <v>124</v>
      </c>
      <c r="S141" t="s">
        <v>66</v>
      </c>
      <c r="T141" t="s">
        <v>66</v>
      </c>
      <c r="U141">
        <v>1</v>
      </c>
      <c r="V141">
        <v>2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</v>
      </c>
      <c r="AF141">
        <v>2</v>
      </c>
      <c r="AG141">
        <v>0</v>
      </c>
      <c r="AH141">
        <v>1</v>
      </c>
      <c r="AI141">
        <v>4</v>
      </c>
      <c r="AJ141">
        <v>2</v>
      </c>
      <c r="AK141">
        <v>5</v>
      </c>
      <c r="AL141">
        <v>2</v>
      </c>
      <c r="AM141">
        <v>9</v>
      </c>
      <c r="AN141">
        <v>0</v>
      </c>
      <c r="AO141" t="s">
        <v>3366</v>
      </c>
      <c r="AP141" t="s">
        <v>68</v>
      </c>
      <c r="AQ141">
        <v>0.72899999999999998</v>
      </c>
      <c r="AR141" t="s">
        <v>69</v>
      </c>
      <c r="AS141">
        <v>14</v>
      </c>
      <c r="AT141">
        <v>2</v>
      </c>
      <c r="AU141">
        <v>2.477E-2</v>
      </c>
      <c r="AV141">
        <v>-4.6699999999999997E-3</v>
      </c>
      <c r="AW141">
        <v>0.12545999999999999</v>
      </c>
      <c r="AX141">
        <v>-2.7089999999999999E-2</v>
      </c>
      <c r="AY141">
        <v>2.6900000000000001E-3</v>
      </c>
      <c r="AZ141">
        <v>-4.8999999999999998E-4</v>
      </c>
      <c r="BA141">
        <v>2.147E-2</v>
      </c>
      <c r="BB141">
        <v>1</v>
      </c>
      <c r="BC141" t="s">
        <v>70</v>
      </c>
      <c r="BD141">
        <v>0.91400000000000003</v>
      </c>
      <c r="BE141">
        <v>0.40600000000000003</v>
      </c>
      <c r="BF141" t="s">
        <v>139</v>
      </c>
      <c r="BG141">
        <v>0.14074074074074</v>
      </c>
      <c r="BI141">
        <v>2.147E-2</v>
      </c>
      <c r="BJ141">
        <v>0.14074074074074</v>
      </c>
    </row>
    <row r="142" spans="1:62">
      <c r="A142">
        <v>3044</v>
      </c>
      <c r="B142" t="s">
        <v>3064</v>
      </c>
      <c r="D142" t="s">
        <v>60</v>
      </c>
      <c r="E142">
        <v>3060395</v>
      </c>
      <c r="F142">
        <v>3060670</v>
      </c>
      <c r="G142" t="s">
        <v>74</v>
      </c>
      <c r="H142">
        <v>92</v>
      </c>
      <c r="I142" t="s">
        <v>63</v>
      </c>
      <c r="J142">
        <v>5</v>
      </c>
      <c r="K142" t="str">
        <f>HYPERLINK("Gene3044-zp_tree_all.dnd", "Gene3044-tree")</f>
        <v>Gene3044-tree</v>
      </c>
      <c r="L142">
        <v>4</v>
      </c>
      <c r="M142">
        <v>1</v>
      </c>
      <c r="N142">
        <v>3</v>
      </c>
      <c r="O142">
        <v>1</v>
      </c>
      <c r="P142">
        <v>0.25</v>
      </c>
      <c r="Q142" t="s">
        <v>112</v>
      </c>
      <c r="R142" t="s">
        <v>65</v>
      </c>
      <c r="S142" t="s">
        <v>66</v>
      </c>
      <c r="T142" t="s">
        <v>66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3</v>
      </c>
      <c r="AJ142">
        <v>1</v>
      </c>
      <c r="AK142">
        <v>6</v>
      </c>
      <c r="AL142">
        <v>1</v>
      </c>
      <c r="AM142">
        <v>4</v>
      </c>
      <c r="AN142">
        <v>0</v>
      </c>
      <c r="AO142" t="s">
        <v>3066</v>
      </c>
      <c r="AP142" t="s">
        <v>68</v>
      </c>
      <c r="AQ142">
        <v>0.79700000000000004</v>
      </c>
      <c r="AR142" t="s">
        <v>69</v>
      </c>
      <c r="AS142">
        <v>10</v>
      </c>
      <c r="AT142">
        <v>1</v>
      </c>
      <c r="AU142">
        <v>2.2339999999999999E-2</v>
      </c>
      <c r="AV142">
        <v>-3.5599999999999998E-3</v>
      </c>
      <c r="AW142">
        <v>0.10716000000000001</v>
      </c>
      <c r="AX142">
        <v>-1.8110000000000001E-2</v>
      </c>
      <c r="AY142">
        <v>2.2899999999999999E-3</v>
      </c>
      <c r="AZ142">
        <v>-8.5999999999999998E-4</v>
      </c>
      <c r="BA142">
        <v>2.1409999999999998E-2</v>
      </c>
      <c r="BB142">
        <v>1</v>
      </c>
      <c r="BC142" t="s">
        <v>70</v>
      </c>
      <c r="BD142">
        <v>-0.109</v>
      </c>
      <c r="BE142">
        <v>-0.109</v>
      </c>
      <c r="BF142" t="s">
        <v>139</v>
      </c>
      <c r="BG142">
        <v>-1.6949152542372801E-2</v>
      </c>
      <c r="BI142">
        <v>2.1409999999999998E-2</v>
      </c>
      <c r="BJ142">
        <v>-1.6949152542372801E-2</v>
      </c>
    </row>
    <row r="143" spans="1:62">
      <c r="A143">
        <v>4038</v>
      </c>
      <c r="B143" t="s">
        <v>4027</v>
      </c>
      <c r="D143" t="s">
        <v>60</v>
      </c>
      <c r="E143">
        <v>4084799</v>
      </c>
      <c r="F143">
        <v>4085551</v>
      </c>
      <c r="G143" t="s">
        <v>4029</v>
      </c>
      <c r="H143">
        <v>251</v>
      </c>
      <c r="I143" t="s">
        <v>85</v>
      </c>
      <c r="J143">
        <v>4</v>
      </c>
      <c r="K143" t="str">
        <f>HYPERLINK("Gene4038-zp_tree_all.dnd", "Gene4038-tree")</f>
        <v>Gene4038-tree</v>
      </c>
      <c r="L143">
        <v>3</v>
      </c>
      <c r="M143">
        <v>1</v>
      </c>
      <c r="N143">
        <v>3</v>
      </c>
      <c r="O143">
        <v>1</v>
      </c>
      <c r="P143">
        <v>0.25</v>
      </c>
      <c r="Q143" t="s">
        <v>86</v>
      </c>
      <c r="R143" t="s">
        <v>65</v>
      </c>
      <c r="S143" t="s">
        <v>66</v>
      </c>
      <c r="T143" t="s">
        <v>66</v>
      </c>
      <c r="U143">
        <v>0</v>
      </c>
      <c r="V143">
        <v>0</v>
      </c>
      <c r="W143">
        <v>3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3</v>
      </c>
      <c r="AH143">
        <v>0</v>
      </c>
      <c r="AI143">
        <v>4</v>
      </c>
      <c r="AJ143">
        <v>1</v>
      </c>
      <c r="AK143">
        <v>36</v>
      </c>
      <c r="AL143">
        <v>3</v>
      </c>
      <c r="AM143">
        <v>2</v>
      </c>
      <c r="AN143">
        <v>0</v>
      </c>
      <c r="AO143" t="s">
        <v>4030</v>
      </c>
      <c r="AP143" t="s">
        <v>68</v>
      </c>
      <c r="AQ143">
        <v>0.434</v>
      </c>
      <c r="AR143" t="s">
        <v>69</v>
      </c>
      <c r="AS143">
        <v>38</v>
      </c>
      <c r="AT143">
        <v>3</v>
      </c>
      <c r="AU143">
        <v>2.7220000000000001E-2</v>
      </c>
      <c r="AV143">
        <v>-7.9100000000000004E-3</v>
      </c>
      <c r="AW143">
        <v>0.12589</v>
      </c>
      <c r="AX143">
        <v>-3.6900000000000002E-2</v>
      </c>
      <c r="AY143">
        <v>2.5899999999999999E-3</v>
      </c>
      <c r="AZ143">
        <v>-1.06E-3</v>
      </c>
      <c r="BA143">
        <v>2.0539999999999999E-2</v>
      </c>
      <c r="BB143">
        <v>1</v>
      </c>
      <c r="BC143" t="s">
        <v>70</v>
      </c>
      <c r="BD143">
        <v>-0.627</v>
      </c>
      <c r="BE143">
        <v>-0.627</v>
      </c>
      <c r="BF143" t="s">
        <v>139</v>
      </c>
      <c r="BG143">
        <v>3.47003154574132E-2</v>
      </c>
      <c r="BI143">
        <v>2.0539999999999999E-2</v>
      </c>
      <c r="BJ143">
        <v>3.47003154574132E-2</v>
      </c>
    </row>
    <row r="144" spans="1:62">
      <c r="A144">
        <v>1008</v>
      </c>
      <c r="B144" t="s">
        <v>1105</v>
      </c>
      <c r="D144" t="s">
        <v>66</v>
      </c>
      <c r="E144">
        <v>1073109</v>
      </c>
      <c r="F144">
        <v>1073717</v>
      </c>
      <c r="G144" t="s">
        <v>787</v>
      </c>
      <c r="H144">
        <v>203</v>
      </c>
      <c r="I144" t="s">
        <v>63</v>
      </c>
      <c r="J144">
        <v>5</v>
      </c>
      <c r="K144" t="str">
        <f>HYPERLINK("Gene1008-zp_tree_all.dnd", "Gene1008-tree")</f>
        <v>Gene1008-tree</v>
      </c>
      <c r="L144">
        <v>4</v>
      </c>
      <c r="M144">
        <v>1</v>
      </c>
      <c r="N144">
        <v>4</v>
      </c>
      <c r="O144">
        <v>1</v>
      </c>
      <c r="P144">
        <v>0.2</v>
      </c>
      <c r="Q144" t="s">
        <v>64</v>
      </c>
      <c r="R144" t="s">
        <v>65</v>
      </c>
      <c r="S144" t="s">
        <v>66</v>
      </c>
      <c r="T144" t="s">
        <v>66</v>
      </c>
      <c r="U144">
        <v>0</v>
      </c>
      <c r="V144">
        <v>0</v>
      </c>
      <c r="W144">
        <v>2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5</v>
      </c>
      <c r="AJ144">
        <v>2</v>
      </c>
      <c r="AK144">
        <v>13</v>
      </c>
      <c r="AL144">
        <v>1</v>
      </c>
      <c r="AM144">
        <v>11</v>
      </c>
      <c r="AN144">
        <v>1</v>
      </c>
      <c r="AO144" t="s">
        <v>1107</v>
      </c>
      <c r="AP144" t="s">
        <v>1108</v>
      </c>
      <c r="AQ144">
        <v>0.06</v>
      </c>
      <c r="AR144" t="s">
        <v>69</v>
      </c>
      <c r="AS144">
        <v>24</v>
      </c>
      <c r="AT144">
        <v>2</v>
      </c>
      <c r="AU144">
        <v>2.069E-2</v>
      </c>
      <c r="AV144">
        <v>-3.2799999999999999E-3</v>
      </c>
      <c r="AW144">
        <v>0.10102999999999999</v>
      </c>
      <c r="AX144">
        <v>-1.617E-2</v>
      </c>
      <c r="AY144">
        <v>2.0699999999999998E-3</v>
      </c>
      <c r="AZ144">
        <v>-5.1000000000000004E-4</v>
      </c>
      <c r="BA144">
        <v>2.0480000000000002E-2</v>
      </c>
      <c r="BB144">
        <v>1</v>
      </c>
      <c r="BC144" t="s">
        <v>70</v>
      </c>
      <c r="BD144">
        <v>0.372</v>
      </c>
      <c r="BE144">
        <v>0.372</v>
      </c>
      <c r="BF144" t="s">
        <v>139</v>
      </c>
      <c r="BG144">
        <v>-0.125</v>
      </c>
      <c r="BI144">
        <v>2.0480000000000002E-2</v>
      </c>
      <c r="BJ144">
        <v>-0.125</v>
      </c>
    </row>
    <row r="145" spans="1:62">
      <c r="A145">
        <v>2505</v>
      </c>
      <c r="B145" t="s">
        <v>2492</v>
      </c>
      <c r="D145" t="s">
        <v>60</v>
      </c>
      <c r="E145">
        <v>2544995</v>
      </c>
      <c r="F145">
        <v>2545372</v>
      </c>
      <c r="G145" t="s">
        <v>74</v>
      </c>
      <c r="H145">
        <v>126</v>
      </c>
      <c r="I145" t="s">
        <v>106</v>
      </c>
      <c r="J145">
        <v>4</v>
      </c>
      <c r="K145" t="str">
        <f>HYPERLINK("Gene2505-zp_tree_all.dnd", "Gene2505-tree")</f>
        <v>Gene2505-tree</v>
      </c>
      <c r="L145">
        <v>4</v>
      </c>
      <c r="M145">
        <v>0</v>
      </c>
      <c r="N145">
        <v>4</v>
      </c>
      <c r="O145">
        <v>0</v>
      </c>
      <c r="P145">
        <v>0</v>
      </c>
      <c r="Q145" t="s">
        <v>64</v>
      </c>
      <c r="R145" t="s">
        <v>66</v>
      </c>
      <c r="S145" t="s">
        <v>66</v>
      </c>
      <c r="T145" t="s">
        <v>66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3</v>
      </c>
      <c r="AJ145">
        <v>1</v>
      </c>
      <c r="AK145">
        <v>15</v>
      </c>
      <c r="AL145">
        <v>0</v>
      </c>
      <c r="AM145">
        <v>2</v>
      </c>
      <c r="AN145">
        <v>1</v>
      </c>
      <c r="AO145" t="s">
        <v>68</v>
      </c>
      <c r="AP145" t="s">
        <v>2494</v>
      </c>
      <c r="AQ145">
        <v>0</v>
      </c>
      <c r="AR145" t="s">
        <v>69</v>
      </c>
      <c r="AS145">
        <v>17</v>
      </c>
      <c r="AT145">
        <v>1</v>
      </c>
      <c r="AU145">
        <v>2.513E-2</v>
      </c>
      <c r="AV145">
        <v>-6.1999999999999998E-3</v>
      </c>
      <c r="AW145">
        <v>0.11434</v>
      </c>
      <c r="AX145">
        <v>-3.116E-2</v>
      </c>
      <c r="AY145">
        <v>2.2899999999999999E-3</v>
      </c>
      <c r="AZ145">
        <v>-5.4000000000000001E-4</v>
      </c>
      <c r="BA145">
        <v>2.001E-2</v>
      </c>
      <c r="BB145">
        <v>1</v>
      </c>
      <c r="BC145" t="s">
        <v>70</v>
      </c>
      <c r="BD145">
        <v>-0.33100000000000002</v>
      </c>
      <c r="BE145">
        <v>-0.33100000000000002</v>
      </c>
      <c r="BF145" t="s">
        <v>139</v>
      </c>
      <c r="BG145">
        <v>-2.3529411764705799E-2</v>
      </c>
      <c r="BI145">
        <v>2.001E-2</v>
      </c>
      <c r="BJ145">
        <v>-2.3529411764705799E-2</v>
      </c>
    </row>
    <row r="146" spans="1:62">
      <c r="A146">
        <v>3861</v>
      </c>
      <c r="B146" t="s">
        <v>3821</v>
      </c>
      <c r="D146" t="s">
        <v>60</v>
      </c>
      <c r="E146">
        <v>3900963</v>
      </c>
      <c r="F146">
        <v>3901775</v>
      </c>
      <c r="G146" t="s">
        <v>3823</v>
      </c>
      <c r="H146">
        <v>271</v>
      </c>
      <c r="I146" t="s">
        <v>63</v>
      </c>
      <c r="J146">
        <v>5</v>
      </c>
      <c r="K146" t="str">
        <f>HYPERLINK("Gene3861-zp_tree_all.dnd", "Gene3861-tree")</f>
        <v>Gene3861-tree</v>
      </c>
      <c r="L146">
        <v>1</v>
      </c>
      <c r="M146">
        <v>4</v>
      </c>
      <c r="N146">
        <v>1</v>
      </c>
      <c r="O146">
        <v>3</v>
      </c>
      <c r="P146">
        <v>0.75</v>
      </c>
      <c r="Q146" t="s">
        <v>65</v>
      </c>
      <c r="R146" t="s">
        <v>112</v>
      </c>
      <c r="S146">
        <v>5</v>
      </c>
      <c r="T146" t="s">
        <v>239</v>
      </c>
      <c r="U146">
        <v>0</v>
      </c>
      <c r="V146">
        <v>0</v>
      </c>
      <c r="W146">
        <v>4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0</v>
      </c>
      <c r="AI146">
        <v>4</v>
      </c>
      <c r="AJ146">
        <v>1</v>
      </c>
      <c r="AK146">
        <v>34</v>
      </c>
      <c r="AL146">
        <v>3</v>
      </c>
      <c r="AM146">
        <v>21</v>
      </c>
      <c r="AN146">
        <v>1</v>
      </c>
      <c r="AO146" t="s">
        <v>3824</v>
      </c>
      <c r="AP146" t="s">
        <v>3825</v>
      </c>
      <c r="AQ146">
        <v>1.6859999999999999</v>
      </c>
      <c r="AR146" t="s">
        <v>69</v>
      </c>
      <c r="AS146">
        <v>55</v>
      </c>
      <c r="AT146">
        <v>4</v>
      </c>
      <c r="AU146">
        <v>3.9359999999999999E-2</v>
      </c>
      <c r="AV146">
        <v>-5.3699999999999998E-3</v>
      </c>
      <c r="AW146">
        <v>0.17760000000000001</v>
      </c>
      <c r="AX146">
        <v>-2.6919999999999999E-2</v>
      </c>
      <c r="AY146">
        <v>3.5000000000000001E-3</v>
      </c>
      <c r="AZ146">
        <v>-4.4999999999999999E-4</v>
      </c>
      <c r="BA146">
        <v>1.968E-2</v>
      </c>
      <c r="BB146">
        <v>1</v>
      </c>
      <c r="BC146" t="s">
        <v>70</v>
      </c>
      <c r="BD146">
        <v>0.372</v>
      </c>
      <c r="BE146">
        <v>0.114</v>
      </c>
      <c r="BF146" t="s">
        <v>139</v>
      </c>
      <c r="BG146">
        <v>2.7989821882951599E-2</v>
      </c>
      <c r="BI146">
        <v>1.968E-2</v>
      </c>
      <c r="BJ146">
        <v>2.7989821882951599E-2</v>
      </c>
    </row>
    <row r="147" spans="1:62">
      <c r="A147">
        <v>1392</v>
      </c>
      <c r="B147" t="s">
        <v>1380</v>
      </c>
      <c r="D147" t="s">
        <v>66</v>
      </c>
      <c r="E147">
        <v>1434436</v>
      </c>
      <c r="F147">
        <v>1435245</v>
      </c>
      <c r="G147" t="s">
        <v>1382</v>
      </c>
      <c r="H147">
        <v>270</v>
      </c>
      <c r="I147" t="s">
        <v>85</v>
      </c>
      <c r="J147">
        <v>4</v>
      </c>
      <c r="K147" t="str">
        <f>HYPERLINK("Gene1392-zp_tree_all.dnd", "Gene1392-tree")</f>
        <v>Gene1392-tree</v>
      </c>
      <c r="L147">
        <v>1</v>
      </c>
      <c r="M147">
        <v>3</v>
      </c>
      <c r="N147">
        <v>1</v>
      </c>
      <c r="O147">
        <v>3</v>
      </c>
      <c r="P147">
        <v>0.75</v>
      </c>
      <c r="Q147" t="s">
        <v>65</v>
      </c>
      <c r="R147" t="s">
        <v>86</v>
      </c>
      <c r="S147" t="s">
        <v>66</v>
      </c>
      <c r="T147" t="s">
        <v>66</v>
      </c>
      <c r="U147">
        <v>0</v>
      </c>
      <c r="V147">
        <v>0</v>
      </c>
      <c r="W147">
        <v>3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3</v>
      </c>
      <c r="AH147">
        <v>0</v>
      </c>
      <c r="AI147">
        <v>4</v>
      </c>
      <c r="AJ147">
        <v>1</v>
      </c>
      <c r="AK147">
        <v>40</v>
      </c>
      <c r="AL147">
        <v>3</v>
      </c>
      <c r="AM147">
        <v>3</v>
      </c>
      <c r="AN147">
        <v>0</v>
      </c>
      <c r="AO147" t="s">
        <v>1383</v>
      </c>
      <c r="AP147" t="s">
        <v>68</v>
      </c>
      <c r="AQ147">
        <v>0.97</v>
      </c>
      <c r="AR147" t="s">
        <v>69</v>
      </c>
      <c r="AS147">
        <v>43</v>
      </c>
      <c r="AT147">
        <v>3</v>
      </c>
      <c r="AU147">
        <v>2.7980000000000001E-2</v>
      </c>
      <c r="AV147">
        <v>-7.43E-3</v>
      </c>
      <c r="AW147">
        <v>0.12883</v>
      </c>
      <c r="AX147">
        <v>-3.7839999999999999E-2</v>
      </c>
      <c r="AY147">
        <v>2.4099999999999998E-3</v>
      </c>
      <c r="AZ147">
        <v>-3.3E-4</v>
      </c>
      <c r="BA147">
        <v>1.8700000000000001E-2</v>
      </c>
      <c r="BB147">
        <v>1</v>
      </c>
      <c r="BC147" t="s">
        <v>70</v>
      </c>
      <c r="BD147">
        <v>-0.34899999999999998</v>
      </c>
      <c r="BE147">
        <v>-0.79200000000000004</v>
      </c>
      <c r="BF147" t="s">
        <v>139</v>
      </c>
      <c r="BG147">
        <v>-9.9447513812154595E-2</v>
      </c>
      <c r="BI147">
        <v>1.8700000000000001E-2</v>
      </c>
      <c r="BJ147">
        <v>-9.9447513812154595E-2</v>
      </c>
    </row>
    <row r="148" spans="1:62">
      <c r="A148">
        <v>892</v>
      </c>
      <c r="B148" t="s">
        <v>1017</v>
      </c>
      <c r="D148" t="s">
        <v>66</v>
      </c>
      <c r="E148">
        <v>959538</v>
      </c>
      <c r="F148">
        <v>960986</v>
      </c>
      <c r="G148" t="s">
        <v>1019</v>
      </c>
      <c r="H148">
        <v>483</v>
      </c>
      <c r="I148" t="s">
        <v>63</v>
      </c>
      <c r="J148">
        <v>5</v>
      </c>
      <c r="K148" t="str">
        <f>HYPERLINK("Gene892-zp_tree_all.dnd", "Gene892-tree")</f>
        <v>Gene892-tree</v>
      </c>
      <c r="L148">
        <v>3</v>
      </c>
      <c r="M148">
        <v>2</v>
      </c>
      <c r="N148">
        <v>3</v>
      </c>
      <c r="O148">
        <v>2</v>
      </c>
      <c r="P148">
        <v>0.4</v>
      </c>
      <c r="Q148" t="s">
        <v>86</v>
      </c>
      <c r="R148" t="s">
        <v>124</v>
      </c>
      <c r="S148" t="s">
        <v>66</v>
      </c>
      <c r="T148" t="s">
        <v>66</v>
      </c>
      <c r="U148">
        <v>0</v>
      </c>
      <c r="V148">
        <v>0</v>
      </c>
      <c r="W148">
        <v>6</v>
      </c>
      <c r="X148">
        <v>0</v>
      </c>
      <c r="Y148">
        <v>0</v>
      </c>
      <c r="Z148">
        <v>0</v>
      </c>
      <c r="AA148">
        <v>0</v>
      </c>
      <c r="AB148">
        <v>4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0</v>
      </c>
      <c r="AI148">
        <v>5</v>
      </c>
      <c r="AJ148">
        <v>2</v>
      </c>
      <c r="AK148">
        <v>48</v>
      </c>
      <c r="AL148">
        <v>2</v>
      </c>
      <c r="AM148">
        <v>46</v>
      </c>
      <c r="AN148">
        <v>4</v>
      </c>
      <c r="AO148" t="s">
        <v>1020</v>
      </c>
      <c r="AP148" t="s">
        <v>1021</v>
      </c>
      <c r="AQ148">
        <v>0.375</v>
      </c>
      <c r="AR148" t="s">
        <v>69</v>
      </c>
      <c r="AS148">
        <v>94</v>
      </c>
      <c r="AT148">
        <v>6</v>
      </c>
      <c r="AU148">
        <v>3.347E-2</v>
      </c>
      <c r="AV148">
        <v>-5.2100000000000002E-3</v>
      </c>
      <c r="AW148">
        <v>0.15486</v>
      </c>
      <c r="AX148">
        <v>-2.5020000000000001E-2</v>
      </c>
      <c r="AY148">
        <v>2.8800000000000002E-3</v>
      </c>
      <c r="AZ148">
        <v>-5.9000000000000003E-4</v>
      </c>
      <c r="BA148">
        <v>1.8589999999999999E-2</v>
      </c>
      <c r="BB148">
        <v>1</v>
      </c>
      <c r="BC148" t="s">
        <v>70</v>
      </c>
      <c r="BD148">
        <v>0.64</v>
      </c>
      <c r="BE148">
        <v>0.57199999999999995</v>
      </c>
      <c r="BF148" t="s">
        <v>139</v>
      </c>
      <c r="BG148">
        <v>3.9274924471299003E-2</v>
      </c>
      <c r="BI148">
        <v>1.8589999999999999E-2</v>
      </c>
      <c r="BJ148">
        <v>3.9274924471299003E-2</v>
      </c>
    </row>
    <row r="149" spans="1:62">
      <c r="A149">
        <v>871</v>
      </c>
      <c r="B149" t="s">
        <v>993</v>
      </c>
      <c r="D149" t="s">
        <v>66</v>
      </c>
      <c r="E149">
        <v>934460</v>
      </c>
      <c r="F149">
        <v>935440</v>
      </c>
      <c r="G149" t="s">
        <v>74</v>
      </c>
      <c r="H149">
        <v>327</v>
      </c>
      <c r="I149" t="s">
        <v>63</v>
      </c>
      <c r="J149">
        <v>5</v>
      </c>
      <c r="K149" t="str">
        <f>HYPERLINK("Gene871-zp_tree_all.dnd", "Gene871-tree")</f>
        <v>Gene871-tree</v>
      </c>
      <c r="L149">
        <v>5</v>
      </c>
      <c r="M149">
        <v>0</v>
      </c>
      <c r="N149">
        <v>5</v>
      </c>
      <c r="O149">
        <v>0</v>
      </c>
      <c r="P149">
        <v>0</v>
      </c>
      <c r="Q149" t="s">
        <v>96</v>
      </c>
      <c r="R149" t="s">
        <v>66</v>
      </c>
      <c r="S149" t="s">
        <v>66</v>
      </c>
      <c r="T149" t="s">
        <v>66</v>
      </c>
      <c r="U149">
        <v>0</v>
      </c>
      <c r="V149">
        <v>0</v>
      </c>
      <c r="W149">
        <v>3</v>
      </c>
      <c r="X149">
        <v>0</v>
      </c>
      <c r="Y149">
        <v>0</v>
      </c>
      <c r="Z149">
        <v>0</v>
      </c>
      <c r="AA149">
        <v>0</v>
      </c>
      <c r="AB149">
        <v>3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</v>
      </c>
      <c r="AJ149">
        <v>2</v>
      </c>
      <c r="AK149">
        <v>22</v>
      </c>
      <c r="AL149">
        <v>0</v>
      </c>
      <c r="AM149">
        <v>34</v>
      </c>
      <c r="AN149">
        <v>3</v>
      </c>
      <c r="AO149" t="s">
        <v>68</v>
      </c>
      <c r="AP149" t="s">
        <v>995</v>
      </c>
      <c r="AQ149">
        <v>1.5580000000000001</v>
      </c>
      <c r="AR149" t="s">
        <v>69</v>
      </c>
      <c r="AS149">
        <v>56</v>
      </c>
      <c r="AT149">
        <v>3</v>
      </c>
      <c r="AU149">
        <v>2.9960000000000001E-2</v>
      </c>
      <c r="AV149">
        <v>-5.2599999999999999E-3</v>
      </c>
      <c r="AW149">
        <v>0.13216</v>
      </c>
      <c r="AX149">
        <v>-2.4049999999999998E-2</v>
      </c>
      <c r="AY149">
        <v>2.4199999999999998E-3</v>
      </c>
      <c r="AZ149">
        <v>-4.2999999999999999E-4</v>
      </c>
      <c r="BA149">
        <v>1.8329999999999999E-2</v>
      </c>
      <c r="BB149">
        <v>1</v>
      </c>
      <c r="BC149" t="s">
        <v>70</v>
      </c>
      <c r="BD149">
        <v>0.98499999999999999</v>
      </c>
      <c r="BE149">
        <v>0.54800000000000004</v>
      </c>
      <c r="BF149" t="s">
        <v>139</v>
      </c>
      <c r="BG149">
        <v>-7.1748878923766801E-2</v>
      </c>
      <c r="BI149">
        <v>1.8329999999999999E-2</v>
      </c>
      <c r="BJ149">
        <v>-7.1748878923766801E-2</v>
      </c>
    </row>
    <row r="150" spans="1:62">
      <c r="A150">
        <v>3963</v>
      </c>
      <c r="B150" t="s">
        <v>3927</v>
      </c>
      <c r="D150" t="s">
        <v>60</v>
      </c>
      <c r="E150">
        <v>4005752</v>
      </c>
      <c r="F150">
        <v>4006942</v>
      </c>
      <c r="G150" t="s">
        <v>3929</v>
      </c>
      <c r="H150">
        <v>397</v>
      </c>
      <c r="I150" t="s">
        <v>85</v>
      </c>
      <c r="J150">
        <v>4</v>
      </c>
      <c r="K150" t="str">
        <f>HYPERLINK("Gene3963-zp_tree_all.dnd", "Gene3963-tree")</f>
        <v>Gene3963-tree</v>
      </c>
      <c r="L150">
        <v>2</v>
      </c>
      <c r="M150">
        <v>2</v>
      </c>
      <c r="N150">
        <v>2</v>
      </c>
      <c r="O150">
        <v>2</v>
      </c>
      <c r="P150">
        <v>0.5</v>
      </c>
      <c r="Q150" t="s">
        <v>124</v>
      </c>
      <c r="R150" t="s">
        <v>124</v>
      </c>
      <c r="S150" t="s">
        <v>66</v>
      </c>
      <c r="T150" t="s">
        <v>66</v>
      </c>
      <c r="U150">
        <v>1</v>
      </c>
      <c r="V150">
        <v>2</v>
      </c>
      <c r="W150">
        <v>2</v>
      </c>
      <c r="X150">
        <v>0.5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2</v>
      </c>
      <c r="AE150">
        <v>0</v>
      </c>
      <c r="AF150">
        <v>2</v>
      </c>
      <c r="AG150">
        <v>1</v>
      </c>
      <c r="AH150">
        <v>0.66666999999999998</v>
      </c>
      <c r="AI150">
        <v>4</v>
      </c>
      <c r="AJ150">
        <v>1</v>
      </c>
      <c r="AK150">
        <v>61</v>
      </c>
      <c r="AL150">
        <v>3</v>
      </c>
      <c r="AM150">
        <v>6</v>
      </c>
      <c r="AN150">
        <v>1</v>
      </c>
      <c r="AO150" t="s">
        <v>3930</v>
      </c>
      <c r="AP150" t="s">
        <v>3931</v>
      </c>
      <c r="AQ150">
        <v>2.1619999999999999</v>
      </c>
      <c r="AR150" t="s">
        <v>69</v>
      </c>
      <c r="AS150">
        <v>67</v>
      </c>
      <c r="AT150">
        <v>4</v>
      </c>
      <c r="AU150">
        <v>2.9950000000000001E-2</v>
      </c>
      <c r="AV150">
        <v>-6.8500000000000002E-3</v>
      </c>
      <c r="AW150">
        <v>0.13483999999999999</v>
      </c>
      <c r="AX150">
        <v>-3.3930000000000002E-2</v>
      </c>
      <c r="AY150">
        <v>2.2000000000000001E-3</v>
      </c>
      <c r="AZ150">
        <v>-2.5999999999999998E-4</v>
      </c>
      <c r="BA150">
        <v>1.634E-2</v>
      </c>
      <c r="BB150">
        <v>1</v>
      </c>
      <c r="BC150" t="s">
        <v>70</v>
      </c>
      <c r="BD150">
        <v>-0.40100000000000002</v>
      </c>
      <c r="BE150">
        <v>-0.54100000000000004</v>
      </c>
      <c r="BF150" t="s">
        <v>139</v>
      </c>
      <c r="BG150">
        <v>-2.2471910112359501E-2</v>
      </c>
      <c r="BI150">
        <v>1.634E-2</v>
      </c>
      <c r="BJ150">
        <v>-2.2471910112359501E-2</v>
      </c>
    </row>
    <row r="151" spans="1:62">
      <c r="A151">
        <v>4121</v>
      </c>
      <c r="B151" t="s">
        <v>4102</v>
      </c>
      <c r="D151" t="s">
        <v>60</v>
      </c>
      <c r="E151">
        <v>4168204</v>
      </c>
      <c r="F151">
        <v>4169130</v>
      </c>
      <c r="G151" t="s">
        <v>4104</v>
      </c>
      <c r="H151">
        <v>309</v>
      </c>
      <c r="I151" t="s">
        <v>85</v>
      </c>
      <c r="J151">
        <v>4</v>
      </c>
      <c r="K151" t="str">
        <f>HYPERLINK("Gene4121-zp_tree_all.dnd", "Gene4121-tree")</f>
        <v>Gene4121-tree</v>
      </c>
      <c r="L151">
        <v>3</v>
      </c>
      <c r="M151">
        <v>1</v>
      </c>
      <c r="N151">
        <v>3</v>
      </c>
      <c r="O151">
        <v>1</v>
      </c>
      <c r="P151">
        <v>0.25</v>
      </c>
      <c r="Q151" t="s">
        <v>86</v>
      </c>
      <c r="R151" t="s">
        <v>65</v>
      </c>
      <c r="S151" t="s">
        <v>66</v>
      </c>
      <c r="T151" t="s">
        <v>66</v>
      </c>
      <c r="U151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3</v>
      </c>
      <c r="AH151">
        <v>0</v>
      </c>
      <c r="AI151">
        <v>4</v>
      </c>
      <c r="AJ151">
        <v>1</v>
      </c>
      <c r="AK151">
        <v>46</v>
      </c>
      <c r="AL151">
        <v>3</v>
      </c>
      <c r="AM151">
        <v>1</v>
      </c>
      <c r="AN151">
        <v>0</v>
      </c>
      <c r="AO151" t="s">
        <v>4105</v>
      </c>
      <c r="AP151" t="s">
        <v>68</v>
      </c>
      <c r="AQ151">
        <v>0.38900000000000001</v>
      </c>
      <c r="AR151" t="s">
        <v>69</v>
      </c>
      <c r="AS151">
        <v>47</v>
      </c>
      <c r="AT151">
        <v>3</v>
      </c>
      <c r="AU151">
        <v>2.7150000000000001E-2</v>
      </c>
      <c r="AV151">
        <v>-9.0399999999999994E-3</v>
      </c>
      <c r="AW151">
        <v>0.12970999999999999</v>
      </c>
      <c r="AX151">
        <v>-4.3779999999999999E-2</v>
      </c>
      <c r="AY151">
        <v>2.0999999999999999E-3</v>
      </c>
      <c r="AZ151">
        <v>-8.5999999999999998E-4</v>
      </c>
      <c r="BA151">
        <v>1.618E-2</v>
      </c>
      <c r="BB151">
        <v>1</v>
      </c>
      <c r="BC151" t="s">
        <v>70</v>
      </c>
      <c r="BD151">
        <v>-0.80400000000000005</v>
      </c>
      <c r="BE151">
        <v>-0.80400000000000005</v>
      </c>
      <c r="BF151" t="s">
        <v>139</v>
      </c>
      <c r="BG151">
        <v>-7.5187969924812E-3</v>
      </c>
      <c r="BI151">
        <v>1.618E-2</v>
      </c>
      <c r="BJ151">
        <v>-7.5187969924812E-3</v>
      </c>
    </row>
    <row r="152" spans="1:62">
      <c r="A152">
        <v>1429</v>
      </c>
      <c r="B152" t="s">
        <v>1421</v>
      </c>
      <c r="D152" t="s">
        <v>66</v>
      </c>
      <c r="E152">
        <v>1474563</v>
      </c>
      <c r="F152">
        <v>1475024</v>
      </c>
      <c r="G152" t="s">
        <v>74</v>
      </c>
      <c r="H152">
        <v>154</v>
      </c>
      <c r="I152" t="s">
        <v>63</v>
      </c>
      <c r="J152">
        <v>5</v>
      </c>
      <c r="K152" t="str">
        <f>HYPERLINK("Gene1429-zp_tree_all.dnd", "Gene1429-tree")</f>
        <v>Gene1429-tree</v>
      </c>
      <c r="L152">
        <v>4</v>
      </c>
      <c r="M152">
        <v>1</v>
      </c>
      <c r="N152">
        <v>4</v>
      </c>
      <c r="O152">
        <v>1</v>
      </c>
      <c r="P152">
        <v>0.2</v>
      </c>
      <c r="Q152" t="s">
        <v>64</v>
      </c>
      <c r="R152" t="s">
        <v>65</v>
      </c>
      <c r="S152" t="s">
        <v>66</v>
      </c>
      <c r="T152" t="s">
        <v>66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3</v>
      </c>
      <c r="AJ152">
        <v>2</v>
      </c>
      <c r="AK152">
        <v>7</v>
      </c>
      <c r="AL152">
        <v>1</v>
      </c>
      <c r="AM152">
        <v>7</v>
      </c>
      <c r="AN152">
        <v>0</v>
      </c>
      <c r="AO152" t="s">
        <v>1423</v>
      </c>
      <c r="AP152" t="s">
        <v>68</v>
      </c>
      <c r="AQ152">
        <v>0.64800000000000002</v>
      </c>
      <c r="AR152" t="s">
        <v>69</v>
      </c>
      <c r="AS152">
        <v>14</v>
      </c>
      <c r="AT152">
        <v>1</v>
      </c>
      <c r="AU152">
        <v>1.602E-2</v>
      </c>
      <c r="AV152">
        <v>-2.7200000000000002E-3</v>
      </c>
      <c r="AW152">
        <v>7.1279999999999996E-2</v>
      </c>
      <c r="AX152">
        <v>-1.304E-2</v>
      </c>
      <c r="AY152">
        <v>1.1199999999999999E-3</v>
      </c>
      <c r="AZ152">
        <v>-4.2999999999999999E-4</v>
      </c>
      <c r="BA152">
        <v>1.5730000000000001E-2</v>
      </c>
      <c r="BB152">
        <v>1</v>
      </c>
      <c r="BC152" t="s">
        <v>70</v>
      </c>
      <c r="BD152">
        <v>0.20300000000000001</v>
      </c>
      <c r="BE152">
        <v>0.20300000000000001</v>
      </c>
      <c r="BF152" t="s">
        <v>139</v>
      </c>
      <c r="BG152">
        <v>0.157894736842105</v>
      </c>
      <c r="BI152">
        <v>1.5730000000000001E-2</v>
      </c>
      <c r="BJ152">
        <v>0.157894736842105</v>
      </c>
    </row>
    <row r="153" spans="1:62">
      <c r="A153">
        <v>459</v>
      </c>
      <c r="B153" t="s">
        <v>714</v>
      </c>
      <c r="D153" t="s">
        <v>66</v>
      </c>
      <c r="E153">
        <v>507756</v>
      </c>
      <c r="F153">
        <v>508073</v>
      </c>
      <c r="G153" t="s">
        <v>716</v>
      </c>
      <c r="H153">
        <v>106</v>
      </c>
      <c r="I153" t="s">
        <v>63</v>
      </c>
      <c r="J153">
        <v>5</v>
      </c>
      <c r="K153" t="str">
        <f>HYPERLINK("Gene459-zp_tree_all.dnd", "Gene459-tree")</f>
        <v>Gene459-tree</v>
      </c>
      <c r="L153">
        <v>5</v>
      </c>
      <c r="M153">
        <v>0</v>
      </c>
      <c r="N153">
        <v>5</v>
      </c>
      <c r="O153">
        <v>0</v>
      </c>
      <c r="P153">
        <v>0</v>
      </c>
      <c r="Q153" t="s">
        <v>96</v>
      </c>
      <c r="R153" t="s">
        <v>66</v>
      </c>
      <c r="S153" t="s">
        <v>66</v>
      </c>
      <c r="T153" t="s">
        <v>66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4</v>
      </c>
      <c r="AJ153">
        <v>2</v>
      </c>
      <c r="AK153">
        <v>8</v>
      </c>
      <c r="AL153">
        <v>0</v>
      </c>
      <c r="AM153">
        <v>10</v>
      </c>
      <c r="AN153">
        <v>1</v>
      </c>
      <c r="AO153" t="s">
        <v>68</v>
      </c>
      <c r="AP153" t="s">
        <v>717</v>
      </c>
      <c r="AQ153">
        <v>1.0189999999999999</v>
      </c>
      <c r="AR153" t="s">
        <v>69</v>
      </c>
      <c r="AS153">
        <v>18</v>
      </c>
      <c r="AT153">
        <v>1</v>
      </c>
      <c r="AU153">
        <v>2.8299999999999999E-2</v>
      </c>
      <c r="AV153">
        <v>-4.7099999999999998E-3</v>
      </c>
      <c r="AW153">
        <v>0.15572</v>
      </c>
      <c r="AX153">
        <v>-2.6329999999999999E-2</v>
      </c>
      <c r="AY153">
        <v>2.3400000000000001E-3</v>
      </c>
      <c r="AZ153">
        <v>-5.5999999999999995E-4</v>
      </c>
      <c r="BA153">
        <v>1.5049999999999999E-2</v>
      </c>
      <c r="BB153">
        <v>1</v>
      </c>
      <c r="BC153" t="s">
        <v>70</v>
      </c>
      <c r="BD153">
        <v>1.26</v>
      </c>
      <c r="BE153">
        <v>1.26</v>
      </c>
      <c r="BF153" t="s">
        <v>139</v>
      </c>
      <c r="BG153">
        <v>3.2258064516128997E-2</v>
      </c>
      <c r="BI153">
        <v>1.5049999999999999E-2</v>
      </c>
      <c r="BJ153">
        <v>3.2258064516128997E-2</v>
      </c>
    </row>
    <row r="154" spans="1:62">
      <c r="A154">
        <v>3912</v>
      </c>
      <c r="B154" t="s">
        <v>3880</v>
      </c>
      <c r="D154" t="s">
        <v>60</v>
      </c>
      <c r="E154">
        <v>3953783</v>
      </c>
      <c r="F154">
        <v>3954967</v>
      </c>
      <c r="G154" t="s">
        <v>3882</v>
      </c>
      <c r="H154">
        <v>395</v>
      </c>
      <c r="I154" t="s">
        <v>63</v>
      </c>
      <c r="J154">
        <v>5</v>
      </c>
      <c r="K154" t="str">
        <f>HYPERLINK("Gene3912-zp_tree_all.dnd", "Gene3912-tree")</f>
        <v>Gene3912-tree</v>
      </c>
      <c r="L154">
        <v>2</v>
      </c>
      <c r="M154">
        <v>3</v>
      </c>
      <c r="N154">
        <v>2</v>
      </c>
      <c r="O154">
        <v>3</v>
      </c>
      <c r="P154">
        <v>0.6</v>
      </c>
      <c r="Q154" t="s">
        <v>124</v>
      </c>
      <c r="R154" t="s">
        <v>86</v>
      </c>
      <c r="S154" t="s">
        <v>66</v>
      </c>
      <c r="T154" t="s">
        <v>66</v>
      </c>
      <c r="U154">
        <v>1</v>
      </c>
      <c r="V154">
        <v>2</v>
      </c>
      <c r="W154">
        <v>2</v>
      </c>
      <c r="X154">
        <v>0.5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</v>
      </c>
      <c r="AF154">
        <v>2</v>
      </c>
      <c r="AG154">
        <v>2</v>
      </c>
      <c r="AH154">
        <v>0.5</v>
      </c>
      <c r="AI154">
        <v>5</v>
      </c>
      <c r="AJ154">
        <v>2</v>
      </c>
      <c r="AK154">
        <v>12</v>
      </c>
      <c r="AL154">
        <v>3</v>
      </c>
      <c r="AM154">
        <v>45</v>
      </c>
      <c r="AN154">
        <v>1</v>
      </c>
      <c r="AO154" t="s">
        <v>3883</v>
      </c>
      <c r="AP154" t="s">
        <v>3884</v>
      </c>
      <c r="AQ154">
        <v>2.3450000000000002</v>
      </c>
      <c r="AR154" t="s">
        <v>239</v>
      </c>
      <c r="AS154">
        <v>57</v>
      </c>
      <c r="AT154">
        <v>4</v>
      </c>
      <c r="AU154">
        <v>2.768E-2</v>
      </c>
      <c r="AV154">
        <v>-5.6299999999999996E-3</v>
      </c>
      <c r="AW154">
        <v>0.13097</v>
      </c>
      <c r="AX154">
        <v>-2.801E-2</v>
      </c>
      <c r="AY154">
        <v>1.97E-3</v>
      </c>
      <c r="AZ154">
        <v>-2.9999999999999997E-4</v>
      </c>
      <c r="BA154">
        <v>1.5010000000000001E-2</v>
      </c>
      <c r="BB154">
        <v>1</v>
      </c>
      <c r="BC154" t="s">
        <v>70</v>
      </c>
      <c r="BD154">
        <v>1.347</v>
      </c>
      <c r="BE154">
        <v>1.347</v>
      </c>
      <c r="BF154" t="s">
        <v>139</v>
      </c>
      <c r="BG154">
        <v>5.8139534883720902E-2</v>
      </c>
      <c r="BI154">
        <v>1.5010000000000001E-2</v>
      </c>
      <c r="BJ154">
        <v>5.8139534883720902E-2</v>
      </c>
    </row>
    <row r="155" spans="1:62">
      <c r="A155">
        <v>2899</v>
      </c>
      <c r="B155" t="s">
        <v>2856</v>
      </c>
      <c r="D155" t="s">
        <v>60</v>
      </c>
      <c r="E155">
        <v>2909030</v>
      </c>
      <c r="F155">
        <v>2909473</v>
      </c>
      <c r="G155" t="s">
        <v>74</v>
      </c>
      <c r="H155">
        <v>148</v>
      </c>
      <c r="I155" t="s">
        <v>63</v>
      </c>
      <c r="J155">
        <v>5</v>
      </c>
      <c r="K155" t="str">
        <f>HYPERLINK("Gene2899-zp_tree_all.dnd", "Gene2899-tree")</f>
        <v>Gene2899-tree</v>
      </c>
      <c r="L155">
        <v>4</v>
      </c>
      <c r="M155">
        <v>1</v>
      </c>
      <c r="N155">
        <v>4</v>
      </c>
      <c r="O155">
        <v>1</v>
      </c>
      <c r="P155">
        <v>0.2</v>
      </c>
      <c r="Q155" t="s">
        <v>64</v>
      </c>
      <c r="R155" t="s">
        <v>65</v>
      </c>
      <c r="S155" t="s">
        <v>66</v>
      </c>
      <c r="T155" t="s">
        <v>66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4</v>
      </c>
      <c r="AJ155">
        <v>2</v>
      </c>
      <c r="AK155">
        <v>8</v>
      </c>
      <c r="AL155">
        <v>1</v>
      </c>
      <c r="AM155">
        <v>6</v>
      </c>
      <c r="AN155">
        <v>0</v>
      </c>
      <c r="AO155" t="s">
        <v>2858</v>
      </c>
      <c r="AP155" t="s">
        <v>68</v>
      </c>
      <c r="AQ155">
        <v>0.59</v>
      </c>
      <c r="AR155" t="s">
        <v>69</v>
      </c>
      <c r="AS155">
        <v>14</v>
      </c>
      <c r="AT155">
        <v>1</v>
      </c>
      <c r="AU155">
        <v>1.6219999999999998E-2</v>
      </c>
      <c r="AV155">
        <v>-2.3999999999999998E-3</v>
      </c>
      <c r="AW155">
        <v>7.9430000000000001E-2</v>
      </c>
      <c r="AX155">
        <v>-1.2710000000000001E-2</v>
      </c>
      <c r="AY155">
        <v>1.14E-3</v>
      </c>
      <c r="AZ155">
        <v>-4.4000000000000002E-4</v>
      </c>
      <c r="BA155">
        <v>1.431E-2</v>
      </c>
      <c r="BB155">
        <v>1</v>
      </c>
      <c r="BC155" t="s">
        <v>70</v>
      </c>
      <c r="BD155">
        <v>0</v>
      </c>
      <c r="BE155">
        <v>0</v>
      </c>
      <c r="BF155" t="s">
        <v>139</v>
      </c>
      <c r="BG155">
        <v>-7.9365079365079305E-2</v>
      </c>
      <c r="BI155">
        <v>1.431E-2</v>
      </c>
      <c r="BJ155">
        <v>-7.9365079365079305E-2</v>
      </c>
    </row>
    <row r="156" spans="1:62">
      <c r="A156">
        <v>1255</v>
      </c>
      <c r="B156" t="s">
        <v>1289</v>
      </c>
      <c r="D156" t="s">
        <v>66</v>
      </c>
      <c r="E156">
        <v>1312854</v>
      </c>
      <c r="F156">
        <v>1313615</v>
      </c>
      <c r="G156" t="s">
        <v>74</v>
      </c>
      <c r="H156">
        <v>254</v>
      </c>
      <c r="I156" t="s">
        <v>85</v>
      </c>
      <c r="J156">
        <v>4</v>
      </c>
      <c r="K156" t="str">
        <f>HYPERLINK("Gene1255-zp_tree_all.dnd", "Gene1255-tree")</f>
        <v>Gene1255-tree</v>
      </c>
      <c r="L156">
        <v>2</v>
      </c>
      <c r="M156">
        <v>2</v>
      </c>
      <c r="N156">
        <v>2</v>
      </c>
      <c r="O156">
        <v>2</v>
      </c>
      <c r="P156">
        <v>0.5</v>
      </c>
      <c r="Q156" t="s">
        <v>124</v>
      </c>
      <c r="R156" t="s">
        <v>124</v>
      </c>
      <c r="S156" t="s">
        <v>66</v>
      </c>
      <c r="T156" t="s">
        <v>66</v>
      </c>
      <c r="U156">
        <v>0</v>
      </c>
      <c r="V156">
        <v>0</v>
      </c>
      <c r="W156">
        <v>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</v>
      </c>
      <c r="AH156">
        <v>0</v>
      </c>
      <c r="AI156">
        <v>4</v>
      </c>
      <c r="AJ156">
        <v>1</v>
      </c>
      <c r="AK156">
        <v>42</v>
      </c>
      <c r="AL156">
        <v>2</v>
      </c>
      <c r="AM156">
        <v>2</v>
      </c>
      <c r="AN156">
        <v>0</v>
      </c>
      <c r="AO156" t="s">
        <v>1291</v>
      </c>
      <c r="AP156" t="s">
        <v>68</v>
      </c>
      <c r="AQ156">
        <v>0.75700000000000001</v>
      </c>
      <c r="AR156" t="s">
        <v>69</v>
      </c>
      <c r="AS156">
        <v>44</v>
      </c>
      <c r="AT156">
        <v>2</v>
      </c>
      <c r="AU156">
        <v>2.9860000000000001E-2</v>
      </c>
      <c r="AV156">
        <v>-8.2699999999999996E-3</v>
      </c>
      <c r="AW156">
        <v>0.12955</v>
      </c>
      <c r="AX156">
        <v>-3.8289999999999998E-2</v>
      </c>
      <c r="AY156">
        <v>1.7600000000000001E-3</v>
      </c>
      <c r="AZ156">
        <v>-4.2000000000000002E-4</v>
      </c>
      <c r="BA156">
        <v>1.359E-2</v>
      </c>
      <c r="BB156">
        <v>1</v>
      </c>
      <c r="BC156" t="s">
        <v>70</v>
      </c>
      <c r="BD156">
        <v>-0.57699999999999996</v>
      </c>
      <c r="BE156">
        <v>-0.57699999999999996</v>
      </c>
      <c r="BF156" t="s">
        <v>139</v>
      </c>
      <c r="BG156">
        <v>-2.3121387283236899E-2</v>
      </c>
      <c r="BI156">
        <v>1.359E-2</v>
      </c>
      <c r="BJ156">
        <v>-2.3121387283236899E-2</v>
      </c>
    </row>
    <row r="157" spans="1:62">
      <c r="A157">
        <v>3264</v>
      </c>
      <c r="B157" t="s">
        <v>3249</v>
      </c>
      <c r="D157" t="s">
        <v>60</v>
      </c>
      <c r="E157">
        <v>3301586</v>
      </c>
      <c r="F157">
        <v>3302581</v>
      </c>
      <c r="G157" t="s">
        <v>3251</v>
      </c>
      <c r="H157">
        <v>332</v>
      </c>
      <c r="I157" t="s">
        <v>85</v>
      </c>
      <c r="J157">
        <v>4</v>
      </c>
      <c r="K157" t="str">
        <f>HYPERLINK("Gene3264-zp_tree_all.dnd", "Gene3264-tree")</f>
        <v>Gene3264-tree</v>
      </c>
      <c r="L157">
        <v>2</v>
      </c>
      <c r="M157">
        <v>2</v>
      </c>
      <c r="N157">
        <v>2</v>
      </c>
      <c r="O157">
        <v>2</v>
      </c>
      <c r="P157">
        <v>0.5</v>
      </c>
      <c r="Q157" t="s">
        <v>124</v>
      </c>
      <c r="R157" t="s">
        <v>124</v>
      </c>
      <c r="S157" t="s">
        <v>66</v>
      </c>
      <c r="T157" t="s">
        <v>66</v>
      </c>
      <c r="U157">
        <v>0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0</v>
      </c>
      <c r="AI157">
        <v>4</v>
      </c>
      <c r="AJ157">
        <v>1</v>
      </c>
      <c r="AK157">
        <v>49</v>
      </c>
      <c r="AL157">
        <v>2</v>
      </c>
      <c r="AM157">
        <v>4</v>
      </c>
      <c r="AN157">
        <v>0</v>
      </c>
      <c r="AO157" t="s">
        <v>3252</v>
      </c>
      <c r="AP157" t="s">
        <v>68</v>
      </c>
      <c r="AQ157">
        <v>0.80500000000000005</v>
      </c>
      <c r="AR157" t="s">
        <v>69</v>
      </c>
      <c r="AS157">
        <v>53</v>
      </c>
      <c r="AT157">
        <v>2</v>
      </c>
      <c r="AU157">
        <v>2.7189999999999999E-2</v>
      </c>
      <c r="AV157">
        <v>-6.28E-3</v>
      </c>
      <c r="AW157">
        <v>0.12770999999999999</v>
      </c>
      <c r="AX157">
        <v>-3.2829999999999998E-2</v>
      </c>
      <c r="AY157">
        <v>1.31E-3</v>
      </c>
      <c r="AZ157">
        <v>-3.1E-4</v>
      </c>
      <c r="BA157">
        <v>1.025E-2</v>
      </c>
      <c r="BB157">
        <v>1</v>
      </c>
      <c r="BC157" t="s">
        <v>70</v>
      </c>
      <c r="BD157">
        <v>-0.30599999999999999</v>
      </c>
      <c r="BE157">
        <v>-0.68</v>
      </c>
      <c r="BF157" t="s">
        <v>139</v>
      </c>
      <c r="BG157">
        <v>-3.7974683544303799E-2</v>
      </c>
      <c r="BI157">
        <v>1.025E-2</v>
      </c>
      <c r="BJ157">
        <v>-3.7974683544303799E-2</v>
      </c>
    </row>
    <row r="158" spans="1:62">
      <c r="A158">
        <v>3426</v>
      </c>
      <c r="B158" t="s">
        <v>3447</v>
      </c>
      <c r="D158" t="s">
        <v>60</v>
      </c>
      <c r="E158">
        <v>3456667</v>
      </c>
      <c r="F158">
        <v>3457071</v>
      </c>
      <c r="G158" t="s">
        <v>3449</v>
      </c>
      <c r="H158">
        <v>135</v>
      </c>
      <c r="I158" t="s">
        <v>2653</v>
      </c>
      <c r="J158">
        <v>4</v>
      </c>
      <c r="K158" t="str">
        <f>HYPERLINK("Gene3426-zp_tree_all.dnd", "Gene3426-tree")</f>
        <v>Gene3426-tree</v>
      </c>
      <c r="L158">
        <v>3</v>
      </c>
      <c r="M158">
        <v>1</v>
      </c>
      <c r="N158">
        <v>3</v>
      </c>
      <c r="O158">
        <v>1</v>
      </c>
      <c r="P158">
        <v>0.25</v>
      </c>
      <c r="Q158" t="s">
        <v>86</v>
      </c>
      <c r="R158" t="s">
        <v>65</v>
      </c>
      <c r="S158" t="s">
        <v>66</v>
      </c>
      <c r="T158" t="s">
        <v>66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4</v>
      </c>
      <c r="AJ158">
        <v>1</v>
      </c>
      <c r="AK158">
        <v>11</v>
      </c>
      <c r="AL158">
        <v>1</v>
      </c>
      <c r="AM158">
        <v>13</v>
      </c>
      <c r="AN158">
        <v>0</v>
      </c>
      <c r="AO158" t="s">
        <v>3450</v>
      </c>
      <c r="AP158" t="s">
        <v>68</v>
      </c>
      <c r="AQ158">
        <v>0.60599999999999998</v>
      </c>
      <c r="AR158" t="s">
        <v>69</v>
      </c>
      <c r="AS158">
        <v>24</v>
      </c>
      <c r="AT158">
        <v>1</v>
      </c>
      <c r="AU158">
        <v>3.483E-2</v>
      </c>
      <c r="AV158">
        <v>-6.0400000000000002E-3</v>
      </c>
      <c r="AW158">
        <v>0.16794999999999999</v>
      </c>
      <c r="AX158">
        <v>-3.1150000000000001E-2</v>
      </c>
      <c r="AY158">
        <v>1.6100000000000001E-3</v>
      </c>
      <c r="AZ158">
        <v>-6.6E-4</v>
      </c>
      <c r="BA158">
        <v>9.6100000000000005E-3</v>
      </c>
      <c r="BB158">
        <v>1</v>
      </c>
      <c r="BC158" t="s">
        <v>70</v>
      </c>
      <c r="BD158">
        <v>1.1919999999999999</v>
      </c>
      <c r="BE158">
        <v>0.373</v>
      </c>
      <c r="BF158" t="s">
        <v>139</v>
      </c>
      <c r="BG158">
        <v>-0.10160427807486599</v>
      </c>
      <c r="BI158">
        <v>9.6100000000000005E-3</v>
      </c>
      <c r="BJ158">
        <v>-0.10160427807486599</v>
      </c>
    </row>
    <row r="159" spans="1:62">
      <c r="A159">
        <v>1816</v>
      </c>
      <c r="B159" t="s">
        <v>2007</v>
      </c>
      <c r="D159" t="s">
        <v>66</v>
      </c>
      <c r="E159">
        <v>1917642</v>
      </c>
      <c r="F159">
        <v>1918256</v>
      </c>
      <c r="G159" t="s">
        <v>2009</v>
      </c>
      <c r="H159">
        <v>205</v>
      </c>
      <c r="I159" t="s">
        <v>63</v>
      </c>
      <c r="J159">
        <v>5</v>
      </c>
      <c r="K159" t="str">
        <f>HYPERLINK("Gene1816-zp_tree_all.dnd", "Gene1816-tree")</f>
        <v>Gene1816-tree</v>
      </c>
      <c r="L159">
        <v>4</v>
      </c>
      <c r="M159">
        <v>1</v>
      </c>
      <c r="N159">
        <v>4</v>
      </c>
      <c r="O159">
        <v>1</v>
      </c>
      <c r="P159">
        <v>0.2</v>
      </c>
      <c r="Q159" t="s">
        <v>64</v>
      </c>
      <c r="R159" t="s">
        <v>65</v>
      </c>
      <c r="S159" t="s">
        <v>66</v>
      </c>
      <c r="T159" t="s">
        <v>66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5</v>
      </c>
      <c r="AJ159">
        <v>2</v>
      </c>
      <c r="AK159">
        <v>12</v>
      </c>
      <c r="AL159">
        <v>1</v>
      </c>
      <c r="AM159">
        <v>20</v>
      </c>
      <c r="AN159">
        <v>0</v>
      </c>
      <c r="AO159" t="s">
        <v>2010</v>
      </c>
      <c r="AP159" t="s">
        <v>68</v>
      </c>
      <c r="AQ159">
        <v>0.55300000000000005</v>
      </c>
      <c r="AR159" t="s">
        <v>69</v>
      </c>
      <c r="AS159">
        <v>32</v>
      </c>
      <c r="AT159">
        <v>1</v>
      </c>
      <c r="AU159">
        <v>2.7480000000000001E-2</v>
      </c>
      <c r="AV159">
        <v>-4.9100000000000003E-3</v>
      </c>
      <c r="AW159">
        <v>0.13048999999999999</v>
      </c>
      <c r="AX159">
        <v>-2.4500000000000001E-2</v>
      </c>
      <c r="AY159">
        <v>8.4999999999999995E-4</v>
      </c>
      <c r="AZ159">
        <v>-3.3E-4</v>
      </c>
      <c r="BA159">
        <v>6.4900000000000001E-3</v>
      </c>
      <c r="BB159">
        <v>1</v>
      </c>
      <c r="BC159" t="s">
        <v>70</v>
      </c>
      <c r="BD159">
        <v>1.016</v>
      </c>
      <c r="BE159">
        <v>0.76400000000000001</v>
      </c>
      <c r="BF159" t="s">
        <v>139</v>
      </c>
      <c r="BG159">
        <v>-9.0909090909090898E-2</v>
      </c>
      <c r="BI159">
        <v>6.4900000000000001E-3</v>
      </c>
      <c r="BJ159">
        <v>-9.0909090909090898E-2</v>
      </c>
    </row>
    <row r="160" spans="1:62">
      <c r="A160">
        <v>780</v>
      </c>
      <c r="B160" t="s">
        <v>961</v>
      </c>
      <c r="D160" t="s">
        <v>66</v>
      </c>
      <c r="E160">
        <v>839738</v>
      </c>
      <c r="F160">
        <v>840484</v>
      </c>
      <c r="G160" t="s">
        <v>963</v>
      </c>
      <c r="H160">
        <v>249</v>
      </c>
      <c r="I160" t="s">
        <v>63</v>
      </c>
      <c r="J160">
        <v>5</v>
      </c>
      <c r="K160" t="str">
        <f>HYPERLINK("Gene780-zp_tree_all.dnd", "Gene780-tree")</f>
        <v>Gene780-tree</v>
      </c>
      <c r="L160">
        <v>5</v>
      </c>
      <c r="M160">
        <v>0</v>
      </c>
      <c r="N160">
        <v>5</v>
      </c>
      <c r="O160">
        <v>0</v>
      </c>
      <c r="P160">
        <v>0</v>
      </c>
      <c r="Q160" t="s">
        <v>96</v>
      </c>
      <c r="R160" t="s">
        <v>66</v>
      </c>
      <c r="S160" t="s">
        <v>66</v>
      </c>
      <c r="T160" t="s">
        <v>66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5</v>
      </c>
      <c r="AJ160">
        <v>2</v>
      </c>
      <c r="AK160">
        <v>30</v>
      </c>
      <c r="AL160">
        <v>0</v>
      </c>
      <c r="AM160">
        <v>24</v>
      </c>
      <c r="AN160">
        <v>1</v>
      </c>
      <c r="AO160" t="s">
        <v>68</v>
      </c>
      <c r="AP160" t="s">
        <v>964</v>
      </c>
      <c r="AQ160">
        <v>0.76300000000000001</v>
      </c>
      <c r="AR160" t="s">
        <v>69</v>
      </c>
      <c r="AS160">
        <v>54</v>
      </c>
      <c r="AT160">
        <v>1</v>
      </c>
      <c r="AU160">
        <v>3.4669999999999999E-2</v>
      </c>
      <c r="AV160">
        <v>-5.4599999999999996E-3</v>
      </c>
      <c r="AW160">
        <v>0.1709</v>
      </c>
      <c r="AX160">
        <v>-2.8879999999999999E-2</v>
      </c>
      <c r="AY160">
        <v>1.0399999999999999E-3</v>
      </c>
      <c r="AZ160">
        <v>-2.5000000000000001E-4</v>
      </c>
      <c r="BA160">
        <v>6.1000000000000004E-3</v>
      </c>
      <c r="BB160">
        <v>1</v>
      </c>
      <c r="BC160" t="s">
        <v>70</v>
      </c>
      <c r="BD160">
        <v>0.438</v>
      </c>
      <c r="BE160">
        <v>0.28399999999999997</v>
      </c>
      <c r="BF160" t="s">
        <v>139</v>
      </c>
      <c r="BG160">
        <v>-2.4930747922437602E-2</v>
      </c>
      <c r="BI160">
        <v>6.1000000000000004E-3</v>
      </c>
      <c r="BJ160">
        <v>-2.4930747922437602E-2</v>
      </c>
    </row>
    <row r="161" spans="1:62">
      <c r="A161">
        <v>1171</v>
      </c>
      <c r="B161" t="s">
        <v>1251</v>
      </c>
      <c r="D161" t="s">
        <v>60</v>
      </c>
      <c r="E161">
        <v>1237660</v>
      </c>
      <c r="F161">
        <v>1238457</v>
      </c>
      <c r="G161" t="s">
        <v>1253</v>
      </c>
      <c r="H161">
        <v>266</v>
      </c>
      <c r="I161" t="s">
        <v>85</v>
      </c>
      <c r="J161">
        <v>4</v>
      </c>
      <c r="K161" t="str">
        <f>HYPERLINK("Gene1171-zp_tree_all.dnd", "Gene1171-tree")</f>
        <v>Gene1171-tree</v>
      </c>
      <c r="L161">
        <v>3</v>
      </c>
      <c r="M161">
        <v>1</v>
      </c>
      <c r="N161">
        <v>3</v>
      </c>
      <c r="O161">
        <v>1</v>
      </c>
      <c r="P161">
        <v>0.25</v>
      </c>
      <c r="Q161" t="s">
        <v>86</v>
      </c>
      <c r="R161" t="s">
        <v>65</v>
      </c>
      <c r="S161" t="s">
        <v>66</v>
      </c>
      <c r="T161" t="s">
        <v>66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4</v>
      </c>
      <c r="AJ161">
        <v>0</v>
      </c>
      <c r="AK161">
        <v>44</v>
      </c>
      <c r="AL161">
        <v>1</v>
      </c>
      <c r="AM161">
        <v>0</v>
      </c>
      <c r="AN161">
        <v>0</v>
      </c>
      <c r="AO161" t="s">
        <v>1254</v>
      </c>
      <c r="AP161" t="s">
        <v>68</v>
      </c>
      <c r="AQ161">
        <v>0.41199999999999998</v>
      </c>
      <c r="AR161" t="s">
        <v>69</v>
      </c>
      <c r="AS161">
        <v>44</v>
      </c>
      <c r="AT161">
        <v>1</v>
      </c>
      <c r="AU161">
        <v>2.8199999999999999E-2</v>
      </c>
      <c r="AV161">
        <v>-8.8299999999999993E-3</v>
      </c>
      <c r="AW161">
        <v>0.13721</v>
      </c>
      <c r="AX161">
        <v>-4.4240000000000002E-2</v>
      </c>
      <c r="AY161">
        <v>8.1999999999999998E-4</v>
      </c>
      <c r="AZ161">
        <v>-3.3E-4</v>
      </c>
      <c r="BA161">
        <v>5.9500000000000004E-3</v>
      </c>
      <c r="BB161">
        <v>1</v>
      </c>
      <c r="BC161" t="s">
        <v>70</v>
      </c>
      <c r="BD161">
        <v>-0.86599999999999999</v>
      </c>
      <c r="BE161">
        <v>-0.86599999999999999</v>
      </c>
      <c r="BF161" t="s">
        <v>139</v>
      </c>
      <c r="BG161">
        <v>-1.11731843575419E-2</v>
      </c>
      <c r="BI161">
        <v>5.9500000000000004E-3</v>
      </c>
      <c r="BJ161">
        <v>-1.11731843575419E-2</v>
      </c>
    </row>
    <row r="162" spans="1:62">
      <c r="A162">
        <v>859</v>
      </c>
      <c r="B162" t="s">
        <v>987</v>
      </c>
      <c r="D162" t="s">
        <v>66</v>
      </c>
      <c r="E162">
        <v>924471</v>
      </c>
      <c r="F162">
        <v>924578</v>
      </c>
      <c r="G162" t="s">
        <v>74</v>
      </c>
      <c r="H162">
        <v>36</v>
      </c>
      <c r="I162" t="s">
        <v>63</v>
      </c>
      <c r="J162">
        <v>5</v>
      </c>
      <c r="K162" t="str">
        <f>HYPERLINK("Gene859-zp_tree_all.dnd", "Gene859-tree")</f>
        <v>Gene859-tree</v>
      </c>
      <c r="L162">
        <v>5</v>
      </c>
      <c r="M162">
        <v>0</v>
      </c>
      <c r="N162">
        <v>5</v>
      </c>
      <c r="O162">
        <v>0</v>
      </c>
      <c r="P162">
        <v>0</v>
      </c>
      <c r="Q162" t="s">
        <v>96</v>
      </c>
      <c r="R162" t="s">
        <v>66</v>
      </c>
      <c r="S162" t="s">
        <v>66</v>
      </c>
      <c r="T162" t="s">
        <v>66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4</v>
      </c>
      <c r="AJ162">
        <v>2</v>
      </c>
      <c r="AK162">
        <v>4</v>
      </c>
      <c r="AL162">
        <v>0</v>
      </c>
      <c r="AM162">
        <v>3</v>
      </c>
      <c r="AN162">
        <v>0</v>
      </c>
      <c r="AO162" t="s">
        <v>68</v>
      </c>
      <c r="AP162" t="s">
        <v>68</v>
      </c>
      <c r="AQ162">
        <v>0</v>
      </c>
      <c r="AR162" t="s">
        <v>69</v>
      </c>
      <c r="AS162">
        <v>7</v>
      </c>
      <c r="AT162">
        <v>0</v>
      </c>
      <c r="AU162">
        <v>3.048E-2</v>
      </c>
      <c r="AV162">
        <v>-4.2199999999999998E-3</v>
      </c>
      <c r="AW162">
        <v>0.18959000000000001</v>
      </c>
      <c r="AX162">
        <v>-2.853E-2</v>
      </c>
      <c r="AY162">
        <v>0</v>
      </c>
      <c r="AZ162">
        <v>0</v>
      </c>
      <c r="BA162">
        <v>0</v>
      </c>
      <c r="BB162">
        <v>1</v>
      </c>
      <c r="BC162" t="s">
        <v>70</v>
      </c>
      <c r="BD162">
        <v>0.76400000000000001</v>
      </c>
      <c r="BE162">
        <v>0.76400000000000001</v>
      </c>
      <c r="BF162" t="s">
        <v>139</v>
      </c>
      <c r="BG162">
        <v>-0.27659574468085102</v>
      </c>
      <c r="BI162">
        <v>0</v>
      </c>
      <c r="BJ162">
        <v>-0.27659574468085102</v>
      </c>
    </row>
    <row r="163" spans="1:62">
      <c r="A163">
        <v>962</v>
      </c>
      <c r="B163" t="s">
        <v>1070</v>
      </c>
      <c r="D163" t="s">
        <v>66</v>
      </c>
      <c r="E163">
        <v>1029580</v>
      </c>
      <c r="F163">
        <v>1030068</v>
      </c>
      <c r="G163" t="s">
        <v>1072</v>
      </c>
      <c r="H163">
        <v>163</v>
      </c>
      <c r="I163" t="s">
        <v>63</v>
      </c>
      <c r="J163">
        <v>5</v>
      </c>
      <c r="K163" t="str">
        <f>HYPERLINK("Gene962-zp_tree_all.dnd", "Gene962-tree")</f>
        <v>Gene962-tree</v>
      </c>
      <c r="L163">
        <v>5</v>
      </c>
      <c r="M163">
        <v>0</v>
      </c>
      <c r="N163">
        <v>4</v>
      </c>
      <c r="O163">
        <v>0</v>
      </c>
      <c r="P163">
        <v>0</v>
      </c>
      <c r="Q163" t="s">
        <v>135</v>
      </c>
      <c r="R163" t="s">
        <v>66</v>
      </c>
      <c r="S163" t="s">
        <v>66</v>
      </c>
      <c r="T163" t="s">
        <v>66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4</v>
      </c>
      <c r="AJ163">
        <v>1</v>
      </c>
      <c r="AK163">
        <v>6</v>
      </c>
      <c r="AL163">
        <v>0</v>
      </c>
      <c r="AM163">
        <v>7</v>
      </c>
      <c r="AN163">
        <v>0</v>
      </c>
      <c r="AO163" t="s">
        <v>68</v>
      </c>
      <c r="AP163" t="s">
        <v>68</v>
      </c>
      <c r="AQ163">
        <v>0</v>
      </c>
      <c r="AR163" t="s">
        <v>69</v>
      </c>
      <c r="AS163">
        <v>13</v>
      </c>
      <c r="AT163">
        <v>0</v>
      </c>
      <c r="AU163">
        <v>1.5679999999999999E-2</v>
      </c>
      <c r="AV163">
        <v>-2.8E-3</v>
      </c>
      <c r="AW163">
        <v>7.7109999999999998E-2</v>
      </c>
      <c r="AX163">
        <v>-1.4080000000000001E-2</v>
      </c>
      <c r="AY163">
        <v>0</v>
      </c>
      <c r="AZ163">
        <v>0</v>
      </c>
      <c r="BA163">
        <v>0</v>
      </c>
      <c r="BB163">
        <v>1</v>
      </c>
      <c r="BC163" t="s">
        <v>70</v>
      </c>
      <c r="BD163">
        <v>0.65200000000000002</v>
      </c>
      <c r="BE163">
        <v>0.65200000000000002</v>
      </c>
      <c r="BF163" t="s">
        <v>139</v>
      </c>
      <c r="BG163">
        <v>-2.5641025641025599E-2</v>
      </c>
      <c r="BI163">
        <v>0</v>
      </c>
      <c r="BJ163">
        <v>-2.5641025641025599E-2</v>
      </c>
    </row>
    <row r="164" spans="1:62">
      <c r="A164">
        <v>1306</v>
      </c>
      <c r="B164" t="s">
        <v>1325</v>
      </c>
      <c r="D164" t="s">
        <v>66</v>
      </c>
      <c r="E164">
        <v>1350485</v>
      </c>
      <c r="F164">
        <v>1351099</v>
      </c>
      <c r="G164" t="s">
        <v>74</v>
      </c>
      <c r="H164">
        <v>205</v>
      </c>
      <c r="I164" t="s">
        <v>106</v>
      </c>
      <c r="J164">
        <v>4</v>
      </c>
      <c r="K164" t="str">
        <f>HYPERLINK("Gene1306-zp_tree_all.dnd", "Gene1306-tree")</f>
        <v>Gene1306-tree</v>
      </c>
      <c r="L164">
        <v>4</v>
      </c>
      <c r="M164">
        <v>0</v>
      </c>
      <c r="N164">
        <v>4</v>
      </c>
      <c r="O164">
        <v>0</v>
      </c>
      <c r="P164">
        <v>0</v>
      </c>
      <c r="Q164" t="s">
        <v>64</v>
      </c>
      <c r="R164" t="s">
        <v>66</v>
      </c>
      <c r="S164" t="s">
        <v>66</v>
      </c>
      <c r="T164" t="s">
        <v>66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4</v>
      </c>
      <c r="AJ164">
        <v>1</v>
      </c>
      <c r="AK164">
        <v>31</v>
      </c>
      <c r="AL164">
        <v>0</v>
      </c>
      <c r="AM164">
        <v>1</v>
      </c>
      <c r="AN164">
        <v>0</v>
      </c>
      <c r="AO164" t="s">
        <v>68</v>
      </c>
      <c r="AP164" t="s">
        <v>68</v>
      </c>
      <c r="AQ164">
        <v>0</v>
      </c>
      <c r="AR164" t="s">
        <v>69</v>
      </c>
      <c r="AS164">
        <v>32</v>
      </c>
      <c r="AT164">
        <v>0</v>
      </c>
      <c r="AU164">
        <v>2.5749999999999999E-2</v>
      </c>
      <c r="AV164">
        <v>-6.5599999999999999E-3</v>
      </c>
      <c r="AW164">
        <v>0.14574000000000001</v>
      </c>
      <c r="AX164">
        <v>-3.9379999999999998E-2</v>
      </c>
      <c r="AY164">
        <v>0</v>
      </c>
      <c r="AZ164">
        <v>0</v>
      </c>
      <c r="BA164">
        <v>0</v>
      </c>
      <c r="BB164">
        <v>1</v>
      </c>
      <c r="BC164" t="s">
        <v>70</v>
      </c>
      <c r="BD164">
        <v>-0.65800000000000003</v>
      </c>
      <c r="BE164">
        <v>-0.65800000000000003</v>
      </c>
      <c r="BF164" t="s">
        <v>139</v>
      </c>
      <c r="BG164">
        <v>-2.7027027027027001E-2</v>
      </c>
      <c r="BI164">
        <v>0</v>
      </c>
      <c r="BJ164">
        <v>-2.7027027027027001E-2</v>
      </c>
    </row>
    <row r="165" spans="1:62">
      <c r="A165">
        <v>1369</v>
      </c>
      <c r="B165" t="s">
        <v>1358</v>
      </c>
      <c r="D165" t="s">
        <v>66</v>
      </c>
      <c r="E165">
        <v>1413803</v>
      </c>
      <c r="F165">
        <v>1413994</v>
      </c>
      <c r="G165" t="s">
        <v>1360</v>
      </c>
      <c r="H165">
        <v>64</v>
      </c>
      <c r="I165" t="s">
        <v>63</v>
      </c>
      <c r="J165">
        <v>5</v>
      </c>
      <c r="K165" t="str">
        <f>HYPERLINK("Gene1369-zp_tree_all.dnd", "Gene1369-tree")</f>
        <v>Gene1369-tree</v>
      </c>
      <c r="L165">
        <v>5</v>
      </c>
      <c r="M165">
        <v>0</v>
      </c>
      <c r="N165">
        <v>4</v>
      </c>
      <c r="O165">
        <v>0</v>
      </c>
      <c r="P165">
        <v>0</v>
      </c>
      <c r="Q165" t="s">
        <v>135</v>
      </c>
      <c r="R165" t="s">
        <v>66</v>
      </c>
      <c r="S165" t="s">
        <v>66</v>
      </c>
      <c r="T165" t="s">
        <v>66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3</v>
      </c>
      <c r="AJ165">
        <v>1</v>
      </c>
      <c r="AK165">
        <v>4</v>
      </c>
      <c r="AL165">
        <v>0</v>
      </c>
      <c r="AM165">
        <v>1</v>
      </c>
      <c r="AN165">
        <v>0</v>
      </c>
      <c r="AO165" t="s">
        <v>68</v>
      </c>
      <c r="AP165" t="s">
        <v>68</v>
      </c>
      <c r="AQ165">
        <v>0</v>
      </c>
      <c r="AR165" t="s">
        <v>69</v>
      </c>
      <c r="AS165">
        <v>5</v>
      </c>
      <c r="AT165">
        <v>0</v>
      </c>
      <c r="AU165">
        <v>1.389E-2</v>
      </c>
      <c r="AV165">
        <v>-2E-3</v>
      </c>
      <c r="AW165">
        <v>6.0659999999999999E-2</v>
      </c>
      <c r="AX165">
        <v>-9.0100000000000006E-3</v>
      </c>
      <c r="AY165">
        <v>0</v>
      </c>
      <c r="AZ165">
        <v>0</v>
      </c>
      <c r="BA165">
        <v>0</v>
      </c>
      <c r="BB165">
        <v>1</v>
      </c>
      <c r="BC165" t="s">
        <v>70</v>
      </c>
      <c r="BD165">
        <v>-0.56200000000000006</v>
      </c>
      <c r="BE165">
        <v>-0.56200000000000006</v>
      </c>
      <c r="BF165" t="s">
        <v>139</v>
      </c>
      <c r="BG165">
        <v>-0.108695652173913</v>
      </c>
      <c r="BI165">
        <v>0</v>
      </c>
      <c r="BJ165">
        <v>-0.108695652173913</v>
      </c>
    </row>
    <row r="166" spans="1:62">
      <c r="A166">
        <v>882</v>
      </c>
      <c r="B166" t="s">
        <v>1009</v>
      </c>
      <c r="D166" t="s">
        <v>60</v>
      </c>
      <c r="E166">
        <v>944487</v>
      </c>
      <c r="F166">
        <v>944921</v>
      </c>
      <c r="G166" t="s">
        <v>1011</v>
      </c>
      <c r="H166">
        <v>145</v>
      </c>
      <c r="I166" t="s">
        <v>63</v>
      </c>
      <c r="J166">
        <v>5</v>
      </c>
      <c r="K166" t="str">
        <f>HYPERLINK("Gene882-zp_tree_all.dnd", "Gene882-tree")</f>
        <v>Gene882-tree</v>
      </c>
      <c r="L166">
        <v>5</v>
      </c>
      <c r="M166">
        <v>0</v>
      </c>
      <c r="N166">
        <v>5</v>
      </c>
      <c r="O166">
        <v>0</v>
      </c>
      <c r="P166">
        <v>0</v>
      </c>
      <c r="Q166" t="s">
        <v>96</v>
      </c>
      <c r="R166" t="s">
        <v>66</v>
      </c>
      <c r="S166" t="s">
        <v>66</v>
      </c>
      <c r="T166" t="s">
        <v>66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4</v>
      </c>
      <c r="AJ166">
        <v>2</v>
      </c>
      <c r="AK166">
        <v>7</v>
      </c>
      <c r="AL166">
        <v>0</v>
      </c>
      <c r="AM166">
        <v>10</v>
      </c>
      <c r="AN166">
        <v>0</v>
      </c>
      <c r="AO166" t="s">
        <v>68</v>
      </c>
      <c r="AP166" t="s">
        <v>68</v>
      </c>
      <c r="AQ166">
        <v>0</v>
      </c>
      <c r="AR166" t="s">
        <v>69</v>
      </c>
      <c r="AS166">
        <v>17</v>
      </c>
      <c r="AT166">
        <v>0</v>
      </c>
      <c r="AU166">
        <v>1.9769999999999999E-2</v>
      </c>
      <c r="AV166">
        <v>-2.8900000000000002E-3</v>
      </c>
      <c r="AW166">
        <v>9.5089999999999994E-2</v>
      </c>
      <c r="AX166">
        <v>-1.4630000000000001E-2</v>
      </c>
      <c r="AY166">
        <v>0</v>
      </c>
      <c r="AZ166">
        <v>0</v>
      </c>
      <c r="BA166">
        <v>0</v>
      </c>
      <c r="BB166">
        <v>1</v>
      </c>
      <c r="BC166" t="s">
        <v>70</v>
      </c>
      <c r="BD166">
        <v>0.878</v>
      </c>
      <c r="BE166">
        <v>0.878</v>
      </c>
      <c r="BF166" t="s">
        <v>139</v>
      </c>
      <c r="BG166">
        <v>0.02</v>
      </c>
      <c r="BI166">
        <v>0</v>
      </c>
      <c r="BJ166">
        <v>0.02</v>
      </c>
    </row>
    <row r="167" spans="1:62">
      <c r="A167">
        <v>2264</v>
      </c>
      <c r="B167" t="s">
        <v>2170</v>
      </c>
      <c r="D167" t="s">
        <v>60</v>
      </c>
      <c r="E167">
        <v>2329870</v>
      </c>
      <c r="F167">
        <v>2330019</v>
      </c>
      <c r="G167" t="s">
        <v>74</v>
      </c>
      <c r="H167">
        <v>50</v>
      </c>
      <c r="I167" t="s">
        <v>63</v>
      </c>
      <c r="J167">
        <v>5</v>
      </c>
      <c r="K167" t="str">
        <f>HYPERLINK("Gene2264-zp_tree_all.dnd", "Gene2264-tree")</f>
        <v>Gene2264-tree</v>
      </c>
      <c r="L167">
        <v>5</v>
      </c>
      <c r="M167">
        <v>0</v>
      </c>
      <c r="N167">
        <v>5</v>
      </c>
      <c r="O167">
        <v>0</v>
      </c>
      <c r="P167">
        <v>0</v>
      </c>
      <c r="Q167" t="s">
        <v>96</v>
      </c>
      <c r="R167" t="s">
        <v>66</v>
      </c>
      <c r="S167" t="s">
        <v>66</v>
      </c>
      <c r="T167" t="s">
        <v>66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3</v>
      </c>
      <c r="AJ167">
        <v>1</v>
      </c>
      <c r="AK167">
        <v>3</v>
      </c>
      <c r="AL167">
        <v>0</v>
      </c>
      <c r="AM167">
        <v>2</v>
      </c>
      <c r="AN167">
        <v>0</v>
      </c>
      <c r="AO167" t="s">
        <v>68</v>
      </c>
      <c r="AP167" t="s">
        <v>68</v>
      </c>
      <c r="AQ167">
        <v>0</v>
      </c>
      <c r="AR167" t="s">
        <v>69</v>
      </c>
      <c r="AS167">
        <v>5</v>
      </c>
      <c r="AT167">
        <v>0</v>
      </c>
      <c r="AU167">
        <v>1.6E-2</v>
      </c>
      <c r="AV167">
        <v>-2.3500000000000001E-3</v>
      </c>
      <c r="AW167">
        <v>8.6790000000000006E-2</v>
      </c>
      <c r="AX167">
        <v>-1.3339999999999999E-2</v>
      </c>
      <c r="AY167">
        <v>0</v>
      </c>
      <c r="AZ167">
        <v>0</v>
      </c>
      <c r="BA167">
        <v>0</v>
      </c>
      <c r="BB167">
        <v>1</v>
      </c>
      <c r="BC167" t="s">
        <v>70</v>
      </c>
      <c r="BD167">
        <v>0</v>
      </c>
      <c r="BE167">
        <v>0</v>
      </c>
      <c r="BF167" t="s">
        <v>139</v>
      </c>
      <c r="BG167">
        <v>7.9365079365079305E-2</v>
      </c>
      <c r="BI167">
        <v>0</v>
      </c>
      <c r="BJ167">
        <v>7.9365079365079305E-2</v>
      </c>
    </row>
    <row r="168" spans="1:62">
      <c r="A168">
        <v>2336</v>
      </c>
      <c r="B168" t="s">
        <v>2272</v>
      </c>
      <c r="D168" t="s">
        <v>60</v>
      </c>
      <c r="E168">
        <v>2393422</v>
      </c>
      <c r="F168">
        <v>2393556</v>
      </c>
      <c r="G168" t="s">
        <v>74</v>
      </c>
      <c r="H168">
        <v>45</v>
      </c>
      <c r="I168" t="s">
        <v>63</v>
      </c>
      <c r="J168">
        <v>5</v>
      </c>
      <c r="K168" t="str">
        <f>HYPERLINK("Gene2336-zp_tree_all.dnd", "Gene2336-tree")</f>
        <v>Gene2336-tree</v>
      </c>
      <c r="L168">
        <v>5</v>
      </c>
      <c r="M168">
        <v>0</v>
      </c>
      <c r="N168">
        <v>4</v>
      </c>
      <c r="O168">
        <v>0</v>
      </c>
      <c r="P168">
        <v>0</v>
      </c>
      <c r="Q168" t="s">
        <v>135</v>
      </c>
      <c r="R168" t="s">
        <v>66</v>
      </c>
      <c r="S168" t="s">
        <v>66</v>
      </c>
      <c r="T168" t="s">
        <v>66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3</v>
      </c>
      <c r="AJ168">
        <v>1</v>
      </c>
      <c r="AK168">
        <v>5</v>
      </c>
      <c r="AL168">
        <v>0</v>
      </c>
      <c r="AM168">
        <v>2</v>
      </c>
      <c r="AN168">
        <v>0</v>
      </c>
      <c r="AO168" t="s">
        <v>68</v>
      </c>
      <c r="AP168" t="s">
        <v>68</v>
      </c>
      <c r="AQ168">
        <v>0</v>
      </c>
      <c r="AR168" t="s">
        <v>69</v>
      </c>
      <c r="AS168">
        <v>7</v>
      </c>
      <c r="AT168">
        <v>0</v>
      </c>
      <c r="AU168">
        <v>2.8400000000000002E-2</v>
      </c>
      <c r="AV168">
        <v>-4.0600000000000002E-3</v>
      </c>
      <c r="AW168">
        <v>0.15809000000000001</v>
      </c>
      <c r="AX168">
        <v>-2.3609999999999999E-2</v>
      </c>
      <c r="AY168">
        <v>0</v>
      </c>
      <c r="AZ168">
        <v>0</v>
      </c>
      <c r="BA168">
        <v>0</v>
      </c>
      <c r="BB168">
        <v>1</v>
      </c>
      <c r="BC168" t="s">
        <v>70</v>
      </c>
      <c r="BD168">
        <v>-0.33200000000000002</v>
      </c>
      <c r="BE168">
        <v>-0.33200000000000002</v>
      </c>
      <c r="BF168" t="s">
        <v>139</v>
      </c>
      <c r="BG168">
        <v>-3.4482758620689599E-2</v>
      </c>
      <c r="BI168">
        <v>0</v>
      </c>
      <c r="BJ168">
        <v>-3.4482758620689599E-2</v>
      </c>
    </row>
    <row r="169" spans="1:62">
      <c r="A169">
        <v>2354</v>
      </c>
      <c r="B169" t="s">
        <v>2291</v>
      </c>
      <c r="D169" t="s">
        <v>60</v>
      </c>
      <c r="E169">
        <v>2409729</v>
      </c>
      <c r="F169">
        <v>2409974</v>
      </c>
      <c r="G169" t="s">
        <v>2293</v>
      </c>
      <c r="H169">
        <v>82</v>
      </c>
      <c r="I169" t="s">
        <v>63</v>
      </c>
      <c r="J169">
        <v>5</v>
      </c>
      <c r="K169" t="str">
        <f>HYPERLINK("Gene2354-zp_tree_all.dnd", "Gene2354-tree")</f>
        <v>Gene2354-tree</v>
      </c>
      <c r="L169">
        <v>5</v>
      </c>
      <c r="M169">
        <v>0</v>
      </c>
      <c r="N169">
        <v>4</v>
      </c>
      <c r="O169">
        <v>0</v>
      </c>
      <c r="P169">
        <v>0</v>
      </c>
      <c r="Q169" t="s">
        <v>135</v>
      </c>
      <c r="R169" t="s">
        <v>66</v>
      </c>
      <c r="S169" t="s">
        <v>66</v>
      </c>
      <c r="T169" t="s">
        <v>66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2</v>
      </c>
      <c r="AJ169">
        <v>1</v>
      </c>
      <c r="AK169">
        <v>2</v>
      </c>
      <c r="AL169">
        <v>0</v>
      </c>
      <c r="AM169">
        <v>4</v>
      </c>
      <c r="AN169">
        <v>0</v>
      </c>
      <c r="AO169" t="s">
        <v>68</v>
      </c>
      <c r="AP169" t="s">
        <v>68</v>
      </c>
      <c r="AQ169">
        <v>0</v>
      </c>
      <c r="AR169" t="s">
        <v>69</v>
      </c>
      <c r="AS169">
        <v>6</v>
      </c>
      <c r="AT169">
        <v>0</v>
      </c>
      <c r="AU169">
        <v>1.491E-2</v>
      </c>
      <c r="AV169">
        <v>-3.2699999999999999E-3</v>
      </c>
      <c r="AW169">
        <v>7.1760000000000004E-2</v>
      </c>
      <c r="AX169">
        <v>-1.6109999999999999E-2</v>
      </c>
      <c r="AY169">
        <v>0</v>
      </c>
      <c r="AZ169">
        <v>0</v>
      </c>
      <c r="BA169">
        <v>0</v>
      </c>
      <c r="BB169">
        <v>1</v>
      </c>
      <c r="BC169" t="s">
        <v>70</v>
      </c>
      <c r="BD169">
        <v>0.76400000000000001</v>
      </c>
      <c r="BE169">
        <v>0.76400000000000001</v>
      </c>
      <c r="BF169" t="s">
        <v>139</v>
      </c>
      <c r="BG169">
        <v>-0.16814159292035399</v>
      </c>
      <c r="BI169">
        <v>0</v>
      </c>
      <c r="BJ169">
        <v>-0.16814159292035399</v>
      </c>
    </row>
    <row r="170" spans="1:62">
      <c r="A170">
        <v>2529</v>
      </c>
      <c r="B170" t="s">
        <v>2505</v>
      </c>
      <c r="D170" t="s">
        <v>60</v>
      </c>
      <c r="E170">
        <v>2564638</v>
      </c>
      <c r="F170">
        <v>2564880</v>
      </c>
      <c r="G170" t="s">
        <v>74</v>
      </c>
      <c r="H170">
        <v>81</v>
      </c>
      <c r="I170" t="s">
        <v>63</v>
      </c>
      <c r="J170">
        <v>5</v>
      </c>
      <c r="K170" t="str">
        <f>HYPERLINK("Gene2529-zp_tree_all.dnd", "Gene2529-tree")</f>
        <v>Gene2529-tree</v>
      </c>
      <c r="L170">
        <v>5</v>
      </c>
      <c r="M170">
        <v>0</v>
      </c>
      <c r="N170">
        <v>5</v>
      </c>
      <c r="O170">
        <v>0</v>
      </c>
      <c r="P170">
        <v>0</v>
      </c>
      <c r="Q170" t="s">
        <v>96</v>
      </c>
      <c r="R170" t="s">
        <v>66</v>
      </c>
      <c r="S170" t="s">
        <v>66</v>
      </c>
      <c r="T170" t="s">
        <v>66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5</v>
      </c>
      <c r="AJ170">
        <v>2</v>
      </c>
      <c r="AK170">
        <v>6</v>
      </c>
      <c r="AL170">
        <v>0</v>
      </c>
      <c r="AM170">
        <v>3</v>
      </c>
      <c r="AN170">
        <v>0</v>
      </c>
      <c r="AO170" t="s">
        <v>68</v>
      </c>
      <c r="AP170" t="s">
        <v>68</v>
      </c>
      <c r="AQ170">
        <v>0</v>
      </c>
      <c r="AR170" t="s">
        <v>69</v>
      </c>
      <c r="AS170">
        <v>9</v>
      </c>
      <c r="AT170">
        <v>0</v>
      </c>
      <c r="AU170">
        <v>1.6459999999999999E-2</v>
      </c>
      <c r="AV170">
        <v>-1.65E-3</v>
      </c>
      <c r="AW170">
        <v>7.596E-2</v>
      </c>
      <c r="AX170">
        <v>-7.9900000000000006E-3</v>
      </c>
      <c r="AY170">
        <v>0</v>
      </c>
      <c r="AZ170">
        <v>0</v>
      </c>
      <c r="BA170">
        <v>0</v>
      </c>
      <c r="BB170">
        <v>1</v>
      </c>
      <c r="BC170" t="s">
        <v>70</v>
      </c>
      <c r="BD170">
        <v>0.29399999999999998</v>
      </c>
      <c r="BE170">
        <v>-0.44</v>
      </c>
      <c r="BF170" t="s">
        <v>139</v>
      </c>
      <c r="BG170">
        <v>-0.133333333333333</v>
      </c>
      <c r="BI170">
        <v>0</v>
      </c>
      <c r="BJ170">
        <v>-0.133333333333333</v>
      </c>
    </row>
    <row r="171" spans="1:62">
      <c r="A171">
        <v>2918</v>
      </c>
      <c r="B171" t="s">
        <v>2884</v>
      </c>
      <c r="D171" t="s">
        <v>60</v>
      </c>
      <c r="E171">
        <v>2931692</v>
      </c>
      <c r="F171">
        <v>2931904</v>
      </c>
      <c r="G171" t="s">
        <v>2886</v>
      </c>
      <c r="H171">
        <v>71</v>
      </c>
      <c r="I171" t="s">
        <v>63</v>
      </c>
      <c r="J171">
        <v>5</v>
      </c>
      <c r="K171" t="str">
        <f>HYPERLINK("Gene2918-zp_tree_all.dnd", "Gene2918-tree")</f>
        <v>Gene2918-tree</v>
      </c>
      <c r="L171">
        <v>5</v>
      </c>
      <c r="M171">
        <v>0</v>
      </c>
      <c r="N171">
        <v>4</v>
      </c>
      <c r="O171">
        <v>0</v>
      </c>
      <c r="P171">
        <v>0</v>
      </c>
      <c r="Q171" t="s">
        <v>135</v>
      </c>
      <c r="R171" t="s">
        <v>66</v>
      </c>
      <c r="S171" t="s">
        <v>66</v>
      </c>
      <c r="T171" t="s">
        <v>66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3</v>
      </c>
      <c r="AJ171">
        <v>1</v>
      </c>
      <c r="AK171">
        <v>7</v>
      </c>
      <c r="AL171">
        <v>0</v>
      </c>
      <c r="AM171">
        <v>6</v>
      </c>
      <c r="AN171">
        <v>0</v>
      </c>
      <c r="AO171" t="s">
        <v>68</v>
      </c>
      <c r="AP171" t="s">
        <v>68</v>
      </c>
      <c r="AQ171">
        <v>0</v>
      </c>
      <c r="AR171" t="s">
        <v>69</v>
      </c>
      <c r="AS171">
        <v>13</v>
      </c>
      <c r="AT171">
        <v>0</v>
      </c>
      <c r="AU171">
        <v>3.5709999999999999E-2</v>
      </c>
      <c r="AV171">
        <v>-6.0200000000000002E-3</v>
      </c>
      <c r="AW171">
        <v>0.19867000000000001</v>
      </c>
      <c r="AX171">
        <v>-3.603E-2</v>
      </c>
      <c r="AY171">
        <v>0</v>
      </c>
      <c r="AZ171">
        <v>0</v>
      </c>
      <c r="BA171">
        <v>0</v>
      </c>
      <c r="BB171">
        <v>1</v>
      </c>
      <c r="BC171" t="s">
        <v>70</v>
      </c>
      <c r="BD171">
        <v>0.186</v>
      </c>
      <c r="BE171">
        <v>0.186</v>
      </c>
      <c r="BF171" t="s">
        <v>139</v>
      </c>
      <c r="BG171">
        <v>-7.2164948453608199E-2</v>
      </c>
      <c r="BI171">
        <v>0</v>
      </c>
      <c r="BJ171">
        <v>-7.2164948453608199E-2</v>
      </c>
    </row>
    <row r="172" spans="1:62">
      <c r="A172">
        <v>3216</v>
      </c>
      <c r="B172" t="s">
        <v>3205</v>
      </c>
      <c r="D172" t="s">
        <v>60</v>
      </c>
      <c r="E172">
        <v>3249427</v>
      </c>
      <c r="F172">
        <v>3249765</v>
      </c>
      <c r="G172" t="s">
        <v>3207</v>
      </c>
      <c r="H172">
        <v>113</v>
      </c>
      <c r="I172" t="s">
        <v>63</v>
      </c>
      <c r="J172">
        <v>5</v>
      </c>
      <c r="K172" t="str">
        <f>HYPERLINK("Gene3216-zp_tree_all.dnd", "Gene3216-tree")</f>
        <v>Gene3216-tree</v>
      </c>
      <c r="L172">
        <v>5</v>
      </c>
      <c r="M172">
        <v>0</v>
      </c>
      <c r="N172">
        <v>4</v>
      </c>
      <c r="O172">
        <v>0</v>
      </c>
      <c r="P172">
        <v>0</v>
      </c>
      <c r="Q172" t="s">
        <v>135</v>
      </c>
      <c r="R172" t="s">
        <v>66</v>
      </c>
      <c r="S172" t="s">
        <v>66</v>
      </c>
      <c r="T172" t="s">
        <v>66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3</v>
      </c>
      <c r="AJ172">
        <v>1</v>
      </c>
      <c r="AK172">
        <v>7</v>
      </c>
      <c r="AL172">
        <v>0</v>
      </c>
      <c r="AM172">
        <v>2</v>
      </c>
      <c r="AN172">
        <v>0</v>
      </c>
      <c r="AO172" t="s">
        <v>68</v>
      </c>
      <c r="AP172" t="s">
        <v>68</v>
      </c>
      <c r="AQ172">
        <v>0</v>
      </c>
      <c r="AR172" t="s">
        <v>69</v>
      </c>
      <c r="AS172">
        <v>9</v>
      </c>
      <c r="AT172">
        <v>0</v>
      </c>
      <c r="AU172">
        <v>1.3270000000000001E-2</v>
      </c>
      <c r="AV172">
        <v>-2.0600000000000002E-3</v>
      </c>
      <c r="AW172">
        <v>5.9729999999999998E-2</v>
      </c>
      <c r="AX172">
        <v>-9.4000000000000004E-3</v>
      </c>
      <c r="AY172">
        <v>0</v>
      </c>
      <c r="AZ172">
        <v>0</v>
      </c>
      <c r="BA172">
        <v>0</v>
      </c>
      <c r="BB172">
        <v>1</v>
      </c>
      <c r="BC172" t="s">
        <v>70</v>
      </c>
      <c r="BD172">
        <v>0.66100000000000003</v>
      </c>
      <c r="BE172">
        <v>-7.2999999999999995E-2</v>
      </c>
      <c r="BF172" t="s">
        <v>139</v>
      </c>
      <c r="BG172">
        <v>-4.6979865771811999E-2</v>
      </c>
      <c r="BI172">
        <v>0</v>
      </c>
      <c r="BJ172">
        <v>-4.6979865771811999E-2</v>
      </c>
    </row>
    <row r="173" spans="1:62">
      <c r="A173">
        <v>3481</v>
      </c>
      <c r="B173" t="s">
        <v>3486</v>
      </c>
      <c r="D173" t="s">
        <v>60</v>
      </c>
      <c r="E173">
        <v>3513887</v>
      </c>
      <c r="F173">
        <v>3514102</v>
      </c>
      <c r="G173" t="s">
        <v>74</v>
      </c>
      <c r="H173">
        <v>72</v>
      </c>
      <c r="I173" t="s">
        <v>63</v>
      </c>
      <c r="J173">
        <v>5</v>
      </c>
      <c r="K173" t="str">
        <f>HYPERLINK("Gene3481-zp_tree_all.dnd", "Gene3481-tree")</f>
        <v>Gene3481-tree</v>
      </c>
      <c r="L173">
        <v>5</v>
      </c>
      <c r="M173">
        <v>0</v>
      </c>
      <c r="N173">
        <v>5</v>
      </c>
      <c r="O173">
        <v>0</v>
      </c>
      <c r="P173">
        <v>0</v>
      </c>
      <c r="Q173" t="s">
        <v>96</v>
      </c>
      <c r="R173" t="s">
        <v>66</v>
      </c>
      <c r="S173" t="s">
        <v>66</v>
      </c>
      <c r="T173" t="s">
        <v>66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4</v>
      </c>
      <c r="AJ173">
        <v>2</v>
      </c>
      <c r="AK173">
        <v>11</v>
      </c>
      <c r="AL173">
        <v>0</v>
      </c>
      <c r="AM173">
        <v>5</v>
      </c>
      <c r="AN173">
        <v>0</v>
      </c>
      <c r="AO173" t="s">
        <v>68</v>
      </c>
      <c r="AP173" t="s">
        <v>68</v>
      </c>
      <c r="AQ173">
        <v>0</v>
      </c>
      <c r="AR173" t="s">
        <v>69</v>
      </c>
      <c r="AS173">
        <v>16</v>
      </c>
      <c r="AT173">
        <v>0</v>
      </c>
      <c r="AU173">
        <v>3.1480000000000001E-2</v>
      </c>
      <c r="AV173">
        <v>-3.9199999999999999E-3</v>
      </c>
      <c r="AW173">
        <v>0.16780999999999999</v>
      </c>
      <c r="AX173">
        <v>-2.2630000000000001E-2</v>
      </c>
      <c r="AY173">
        <v>0</v>
      </c>
      <c r="AZ173">
        <v>0</v>
      </c>
      <c r="BA173">
        <v>0</v>
      </c>
      <c r="BB173">
        <v>1</v>
      </c>
      <c r="BC173" t="s">
        <v>70</v>
      </c>
      <c r="BD173">
        <v>8.6999999999999994E-2</v>
      </c>
      <c r="BE173">
        <v>-0.34699999999999998</v>
      </c>
      <c r="BF173" t="s">
        <v>139</v>
      </c>
      <c r="BG173">
        <v>4.6511627906976702E-2</v>
      </c>
      <c r="BI173">
        <v>0</v>
      </c>
      <c r="BJ173">
        <v>4.6511627906976702E-2</v>
      </c>
    </row>
    <row r="174" spans="1:62">
      <c r="A174">
        <v>3711</v>
      </c>
      <c r="B174" t="s">
        <v>3655</v>
      </c>
      <c r="D174" t="s">
        <v>60</v>
      </c>
      <c r="E174">
        <v>3758016</v>
      </c>
      <c r="F174">
        <v>3758363</v>
      </c>
      <c r="G174" t="s">
        <v>3657</v>
      </c>
      <c r="H174">
        <v>116</v>
      </c>
      <c r="I174" t="s">
        <v>85</v>
      </c>
      <c r="J174">
        <v>4</v>
      </c>
      <c r="K174" t="str">
        <f>HYPERLINK("Gene3711-zp_tree_all.dnd", "Gene3711-tree")</f>
        <v>Gene3711-tree</v>
      </c>
      <c r="L174">
        <v>4</v>
      </c>
      <c r="M174">
        <v>0</v>
      </c>
      <c r="N174">
        <v>4</v>
      </c>
      <c r="O174">
        <v>0</v>
      </c>
      <c r="P174">
        <v>0</v>
      </c>
      <c r="Q174" t="s">
        <v>64</v>
      </c>
      <c r="R174" t="s">
        <v>66</v>
      </c>
      <c r="S174" t="s">
        <v>66</v>
      </c>
      <c r="T174" t="s">
        <v>66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</v>
      </c>
      <c r="AJ174">
        <v>1</v>
      </c>
      <c r="AK174">
        <v>17</v>
      </c>
      <c r="AL174">
        <v>0</v>
      </c>
      <c r="AM174">
        <v>1</v>
      </c>
      <c r="AN174">
        <v>0</v>
      </c>
      <c r="AO174" t="s">
        <v>68</v>
      </c>
      <c r="AP174" t="s">
        <v>68</v>
      </c>
      <c r="AQ174">
        <v>0</v>
      </c>
      <c r="AR174" t="s">
        <v>69</v>
      </c>
      <c r="AS174">
        <v>18</v>
      </c>
      <c r="AT174">
        <v>0</v>
      </c>
      <c r="AU174">
        <v>2.657E-2</v>
      </c>
      <c r="AV174">
        <v>-8.5199999999999998E-3</v>
      </c>
      <c r="AW174">
        <v>0.13148000000000001</v>
      </c>
      <c r="AX174">
        <v>-4.3580000000000001E-2</v>
      </c>
      <c r="AY174">
        <v>0</v>
      </c>
      <c r="AZ174">
        <v>0</v>
      </c>
      <c r="BA174">
        <v>0</v>
      </c>
      <c r="BB174">
        <v>1</v>
      </c>
      <c r="BC174" t="s">
        <v>70</v>
      </c>
      <c r="BD174">
        <v>-0.67800000000000005</v>
      </c>
      <c r="BE174">
        <v>-0.67800000000000005</v>
      </c>
      <c r="BF174" t="s">
        <v>139</v>
      </c>
      <c r="BG174">
        <v>-0.129870129870129</v>
      </c>
      <c r="BI174">
        <v>0</v>
      </c>
      <c r="BJ174">
        <v>-0.129870129870129</v>
      </c>
    </row>
    <row r="175" spans="1:62">
      <c r="A175">
        <v>3872</v>
      </c>
      <c r="B175" t="s">
        <v>3833</v>
      </c>
      <c r="D175" t="s">
        <v>60</v>
      </c>
      <c r="E175">
        <v>3914009</v>
      </c>
      <c r="F175">
        <v>3914269</v>
      </c>
      <c r="G175" t="s">
        <v>3835</v>
      </c>
      <c r="H175">
        <v>87</v>
      </c>
      <c r="I175" t="s">
        <v>63</v>
      </c>
      <c r="J175">
        <v>5</v>
      </c>
      <c r="K175" t="str">
        <f>HYPERLINK("Gene3872-zp_tree_all.dnd", "Gene3872-tree")</f>
        <v>Gene3872-tree</v>
      </c>
      <c r="L175">
        <v>5</v>
      </c>
      <c r="M175">
        <v>0</v>
      </c>
      <c r="N175">
        <v>5</v>
      </c>
      <c r="O175">
        <v>0</v>
      </c>
      <c r="P175">
        <v>0</v>
      </c>
      <c r="Q175" t="s">
        <v>96</v>
      </c>
      <c r="R175" t="s">
        <v>66</v>
      </c>
      <c r="S175" t="s">
        <v>66</v>
      </c>
      <c r="T175" t="s">
        <v>66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4</v>
      </c>
      <c r="AJ175">
        <v>1</v>
      </c>
      <c r="AK175">
        <v>7</v>
      </c>
      <c r="AL175">
        <v>0</v>
      </c>
      <c r="AM175">
        <v>6</v>
      </c>
      <c r="AN175">
        <v>0</v>
      </c>
      <c r="AO175" t="s">
        <v>68</v>
      </c>
      <c r="AP175" t="s">
        <v>68</v>
      </c>
      <c r="AQ175">
        <v>0</v>
      </c>
      <c r="AR175" t="s">
        <v>69</v>
      </c>
      <c r="AS175">
        <v>13</v>
      </c>
      <c r="AT175">
        <v>0</v>
      </c>
      <c r="AU175">
        <v>2.452E-2</v>
      </c>
      <c r="AV175">
        <v>-4.3400000000000001E-3</v>
      </c>
      <c r="AW175">
        <v>0.11864</v>
      </c>
      <c r="AX175">
        <v>-2.164E-2</v>
      </c>
      <c r="AY175">
        <v>0</v>
      </c>
      <c r="AZ175">
        <v>0</v>
      </c>
      <c r="BA175">
        <v>0</v>
      </c>
      <c r="BB175">
        <v>1</v>
      </c>
      <c r="BC175" t="s">
        <v>70</v>
      </c>
      <c r="BD175">
        <v>0.186</v>
      </c>
      <c r="BE175">
        <v>0.186</v>
      </c>
      <c r="BF175" t="s">
        <v>139</v>
      </c>
      <c r="BG175">
        <v>0.17857142857142799</v>
      </c>
      <c r="BI175">
        <v>0</v>
      </c>
      <c r="BJ175">
        <v>0.17857142857142799</v>
      </c>
    </row>
    <row r="176" spans="1:62">
      <c r="A176">
        <v>3995</v>
      </c>
      <c r="B176" t="s">
        <v>3952</v>
      </c>
      <c r="D176" t="s">
        <v>60</v>
      </c>
      <c r="E176">
        <v>4041483</v>
      </c>
      <c r="F176">
        <v>4041935</v>
      </c>
      <c r="G176" t="s">
        <v>3954</v>
      </c>
      <c r="H176">
        <v>151</v>
      </c>
      <c r="I176" t="s">
        <v>85</v>
      </c>
      <c r="J176">
        <v>4</v>
      </c>
      <c r="K176" t="str">
        <f>HYPERLINK("Gene3995-zp_tree_all.dnd", "Gene3995-tree")</f>
        <v>Gene3995-tree</v>
      </c>
      <c r="L176">
        <v>4</v>
      </c>
      <c r="M176">
        <v>0</v>
      </c>
      <c r="N176">
        <v>4</v>
      </c>
      <c r="O176">
        <v>0</v>
      </c>
      <c r="P176">
        <v>0</v>
      </c>
      <c r="Q176" t="s">
        <v>64</v>
      </c>
      <c r="R176" t="s">
        <v>66</v>
      </c>
      <c r="S176" t="s">
        <v>66</v>
      </c>
      <c r="T176" t="s">
        <v>66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4</v>
      </c>
      <c r="AJ176">
        <v>1</v>
      </c>
      <c r="AK176">
        <v>22</v>
      </c>
      <c r="AL176">
        <v>0</v>
      </c>
      <c r="AM176">
        <v>4</v>
      </c>
      <c r="AN176">
        <v>0</v>
      </c>
      <c r="AO176" t="s">
        <v>68</v>
      </c>
      <c r="AP176" t="s">
        <v>68</v>
      </c>
      <c r="AQ176">
        <v>0</v>
      </c>
      <c r="AR176" t="s">
        <v>69</v>
      </c>
      <c r="AS176">
        <v>26</v>
      </c>
      <c r="AT176">
        <v>0</v>
      </c>
      <c r="AU176">
        <v>2.9430000000000001E-2</v>
      </c>
      <c r="AV176">
        <v>-4.6100000000000004E-3</v>
      </c>
      <c r="AW176">
        <v>0.13125999999999999</v>
      </c>
      <c r="AX176">
        <v>-2.197E-2</v>
      </c>
      <c r="AY176">
        <v>0</v>
      </c>
      <c r="AZ176">
        <v>0</v>
      </c>
      <c r="BA176">
        <v>0</v>
      </c>
      <c r="BB176">
        <v>1</v>
      </c>
      <c r="BC176" t="s">
        <v>70</v>
      </c>
      <c r="BD176">
        <v>-0.22900000000000001</v>
      </c>
      <c r="BE176">
        <v>-0.22900000000000001</v>
      </c>
      <c r="BF176" t="s">
        <v>139</v>
      </c>
      <c r="BG176">
        <v>-0.26724137931034397</v>
      </c>
      <c r="BI176">
        <v>0</v>
      </c>
      <c r="BJ176">
        <v>-0.26724137931034397</v>
      </c>
    </row>
  </sheetData>
  <sortState xmlns:xlrd2="http://schemas.microsoft.com/office/spreadsheetml/2017/richdata2" ref="A3:BF175">
    <sortCondition descending="1" ref="BA3:BA17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W736"/>
  <sheetViews>
    <sheetView workbookViewId="0">
      <selection activeCell="V6" sqref="V6"/>
    </sheetView>
  </sheetViews>
  <sheetFormatPr baseColWidth="10" defaultColWidth="8.83203125" defaultRowHeight="15"/>
  <sheetData>
    <row r="2" spans="3:23">
      <c r="D2" t="s">
        <v>4184</v>
      </c>
      <c r="I2" t="s">
        <v>4168</v>
      </c>
      <c r="O2" t="s">
        <v>4184</v>
      </c>
      <c r="R2" t="s">
        <v>4168</v>
      </c>
      <c r="V2" t="s">
        <v>4202</v>
      </c>
    </row>
    <row r="3" spans="3:23">
      <c r="C3" t="s">
        <v>4183</v>
      </c>
      <c r="D3" t="s">
        <v>4169</v>
      </c>
      <c r="E3" t="s">
        <v>4170</v>
      </c>
      <c r="F3" t="s">
        <v>53</v>
      </c>
      <c r="H3" t="s">
        <v>4183</v>
      </c>
      <c r="I3" t="s">
        <v>4169</v>
      </c>
      <c r="J3" t="s">
        <v>4170</v>
      </c>
      <c r="K3" t="s">
        <v>53</v>
      </c>
      <c r="N3" t="s">
        <v>4183</v>
      </c>
      <c r="O3" t="s">
        <v>4169</v>
      </c>
      <c r="P3" t="s">
        <v>4170</v>
      </c>
      <c r="Q3" t="s">
        <v>53</v>
      </c>
      <c r="R3" t="s">
        <v>4169</v>
      </c>
      <c r="S3" t="s">
        <v>4170</v>
      </c>
      <c r="T3" t="s">
        <v>53</v>
      </c>
      <c r="V3" t="s">
        <v>4169</v>
      </c>
      <c r="W3" t="s">
        <v>4170</v>
      </c>
    </row>
    <row r="4" spans="3:23">
      <c r="C4">
        <v>36</v>
      </c>
      <c r="D4">
        <v>0</v>
      </c>
      <c r="E4">
        <v>0.18959000000000001</v>
      </c>
      <c r="F4">
        <v>0</v>
      </c>
      <c r="H4">
        <v>35</v>
      </c>
      <c r="I4">
        <v>1.409E-2</v>
      </c>
      <c r="J4">
        <v>2.4400000000000002E-2</v>
      </c>
      <c r="K4">
        <v>0.57764000000000004</v>
      </c>
      <c r="N4">
        <v>100</v>
      </c>
    </row>
    <row r="5" spans="3:23">
      <c r="C5">
        <v>44</v>
      </c>
      <c r="D5">
        <v>4.9199999999999999E-3</v>
      </c>
      <c r="E5">
        <v>4.6399999999999997E-2</v>
      </c>
      <c r="F5">
        <v>0.10607</v>
      </c>
      <c r="H5">
        <v>39</v>
      </c>
      <c r="I5">
        <v>5.3699999999999998E-3</v>
      </c>
      <c r="J5">
        <v>0.14398</v>
      </c>
      <c r="K5">
        <v>3.7280000000000001E-2</v>
      </c>
      <c r="N5">
        <v>200</v>
      </c>
      <c r="O5">
        <f>AVERAGE(D49:D106)</f>
        <v>6.7570689655172432E-3</v>
      </c>
      <c r="P5">
        <f>AVERAGE(E49:E106)</f>
        <v>0.10865672413793102</v>
      </c>
      <c r="Q5">
        <f>AVERAGE(F49:F106)</f>
        <v>7.0649137931034472E-2</v>
      </c>
      <c r="R5">
        <f>AVERAGE(I95:I301)</f>
        <v>4.9449758454106294E-3</v>
      </c>
      <c r="S5">
        <f>AVERAGE(J95:J301)</f>
        <v>0.10485942028985516</v>
      </c>
      <c r="T5">
        <f>AVERAGE(K95:K301)</f>
        <v>5.192304347826087E-2</v>
      </c>
      <c r="V5">
        <f>O5/R5</f>
        <v>1.366451359269711</v>
      </c>
      <c r="W5">
        <f>P5/S5</f>
        <v>1.0362132828655666</v>
      </c>
    </row>
    <row r="6" spans="3:23">
      <c r="C6">
        <v>45</v>
      </c>
      <c r="D6">
        <v>0</v>
      </c>
      <c r="E6">
        <v>0.15809000000000001</v>
      </c>
      <c r="F6">
        <v>0</v>
      </c>
      <c r="H6">
        <v>41</v>
      </c>
      <c r="I6">
        <v>0</v>
      </c>
      <c r="J6">
        <v>9.9739999999999995E-2</v>
      </c>
      <c r="K6">
        <v>0</v>
      </c>
      <c r="N6">
        <v>300</v>
      </c>
      <c r="O6">
        <f>AVERAGE(D107:D142)</f>
        <v>5.9727777777777791E-3</v>
      </c>
      <c r="P6">
        <f>AVERAGE(E107:E142)</f>
        <v>0.11883333333333337</v>
      </c>
      <c r="Q6">
        <f>AVERAGE(F107:F142)</f>
        <v>5.4715555555555545E-2</v>
      </c>
      <c r="R6">
        <f>AVERAGE(I302:I489)</f>
        <v>4.7924468085106357E-3</v>
      </c>
      <c r="S6">
        <f>AVERAGE(J302:J489)</f>
        <v>0.11405223404255319</v>
      </c>
      <c r="T6">
        <f>AVERAGE(K302:K489)</f>
        <v>4.6708085106382975E-2</v>
      </c>
      <c r="V6">
        <f t="shared" ref="V6:V10" si="0">O6/R6</f>
        <v>1.2462898424185032</v>
      </c>
      <c r="W6">
        <f t="shared" ref="W6:W10" si="1">P6/S6</f>
        <v>1.0419202598784374</v>
      </c>
    </row>
    <row r="7" spans="3:23">
      <c r="C7">
        <v>46</v>
      </c>
      <c r="D7">
        <v>5.9899999999999997E-3</v>
      </c>
      <c r="E7">
        <v>0.16883999999999999</v>
      </c>
      <c r="F7">
        <v>3.5470000000000002E-2</v>
      </c>
      <c r="H7">
        <v>43</v>
      </c>
      <c r="I7">
        <v>3.1669999999999997E-2</v>
      </c>
      <c r="J7">
        <v>7.5300000000000006E-2</v>
      </c>
      <c r="K7">
        <v>0.42058000000000001</v>
      </c>
      <c r="N7">
        <v>400</v>
      </c>
      <c r="O7">
        <f>AVERAGE(D143:D165)</f>
        <v>5.3373913043478251E-3</v>
      </c>
      <c r="P7">
        <f>AVERAGE(E143:E165)</f>
        <v>0.11726869565217393</v>
      </c>
      <c r="Q7">
        <f>AVERAGE(F143:F165)</f>
        <v>4.8099565217391296E-2</v>
      </c>
      <c r="R7">
        <f>AVERAGE(I490:I613)</f>
        <v>3.9053225806451614E-3</v>
      </c>
      <c r="S7">
        <f>AVERAGE(J490:J613)</f>
        <v>0.11993314516129036</v>
      </c>
      <c r="T7">
        <f>AVERAGE(K490:K613)</f>
        <v>3.5720806451612901E-2</v>
      </c>
      <c r="V7">
        <f t="shared" si="0"/>
        <v>1.366696654150932</v>
      </c>
      <c r="W7">
        <f t="shared" si="1"/>
        <v>0.97778387696300983</v>
      </c>
    </row>
    <row r="8" spans="3:23">
      <c r="C8">
        <v>47</v>
      </c>
      <c r="D8">
        <v>5.47E-3</v>
      </c>
      <c r="E8">
        <v>6.8650000000000003E-2</v>
      </c>
      <c r="F8">
        <v>7.9699999999999993E-2</v>
      </c>
      <c r="H8">
        <v>44</v>
      </c>
      <c r="I8">
        <v>0.02</v>
      </c>
      <c r="J8">
        <v>6.5030000000000004E-2</v>
      </c>
      <c r="K8">
        <v>0.30758000000000002</v>
      </c>
      <c r="N8">
        <v>500</v>
      </c>
      <c r="O8">
        <f>AVERAGE(D166:D169)</f>
        <v>7.0999999999999995E-3</v>
      </c>
      <c r="P8">
        <f>AVERAGE(E166:E169)</f>
        <v>0.13174750000000002</v>
      </c>
      <c r="Q8">
        <f>AVERAGE(F166:F169)</f>
        <v>7.1819999999999995E-2</v>
      </c>
      <c r="R8">
        <f>AVERAGE(I614:I688)</f>
        <v>3.4191999999999985E-3</v>
      </c>
      <c r="S8">
        <f>AVERAGE(J614:J688)</f>
        <v>0.12635160000000006</v>
      </c>
      <c r="T8">
        <f>AVERAGE(K614:K688)</f>
        <v>2.9291199999999993E-2</v>
      </c>
      <c r="V8">
        <f t="shared" si="0"/>
        <v>2.0765091249415075</v>
      </c>
      <c r="W8">
        <f t="shared" si="1"/>
        <v>1.0427054346759357</v>
      </c>
    </row>
    <row r="9" spans="3:23">
      <c r="C9">
        <v>48</v>
      </c>
      <c r="D9">
        <v>1.078E-2</v>
      </c>
      <c r="E9">
        <v>3.2910000000000002E-2</v>
      </c>
      <c r="F9">
        <v>0.32752999999999999</v>
      </c>
      <c r="H9">
        <v>46</v>
      </c>
      <c r="I9">
        <v>9.4500000000000001E-3</v>
      </c>
      <c r="J9">
        <v>3.8649999999999997E-2</v>
      </c>
      <c r="K9">
        <v>0.24440999999999999</v>
      </c>
      <c r="N9">
        <v>600</v>
      </c>
      <c r="O9">
        <f>AVERAGE(D170:D172)</f>
        <v>4.5766666666666664E-3</v>
      </c>
      <c r="P9">
        <f>AVERAGE(E170:E172)</f>
        <v>0.12883666666666665</v>
      </c>
      <c r="Q9">
        <f>AVERAGE(F170:F172)</f>
        <v>3.5723333333333329E-2</v>
      </c>
      <c r="R9">
        <f>AVERAGE(I689:I705)</f>
        <v>2.9623529411764698E-3</v>
      </c>
      <c r="S9">
        <f>AVERAGE(J689:J705)</f>
        <v>0.11486588235294116</v>
      </c>
      <c r="T9">
        <f>AVERAGE(K689:K705)</f>
        <v>2.5216470588235295E-2</v>
      </c>
      <c r="V9">
        <f t="shared" si="0"/>
        <v>1.5449430765157535</v>
      </c>
      <c r="W9">
        <f t="shared" si="1"/>
        <v>1.1216269272262964</v>
      </c>
    </row>
    <row r="10" spans="3:23">
      <c r="C10">
        <v>48</v>
      </c>
      <c r="D10">
        <v>5.8100000000000001E-3</v>
      </c>
      <c r="E10">
        <v>0.16725999999999999</v>
      </c>
      <c r="F10">
        <v>3.4709999999999998E-2</v>
      </c>
      <c r="H10">
        <v>47</v>
      </c>
      <c r="I10">
        <v>1.409E-2</v>
      </c>
      <c r="J10">
        <v>0.12776000000000001</v>
      </c>
      <c r="K10">
        <v>0.11028</v>
      </c>
      <c r="N10">
        <v>700</v>
      </c>
      <c r="O10">
        <f>AVERAGE(D173:D175)</f>
        <v>6.4333333333333334E-3</v>
      </c>
      <c r="P10">
        <f>AVERAGE(E173:E175)</f>
        <v>0.14778333333333335</v>
      </c>
      <c r="Q10">
        <f>AVERAGE(F173:F175)</f>
        <v>4.5150000000000003E-2</v>
      </c>
      <c r="R10">
        <f>AVERAGE(I706:I726)</f>
        <v>2.8057142857142855E-3</v>
      </c>
      <c r="S10">
        <f>AVERAGE(J706:J726)</f>
        <v>0.12027523809523813</v>
      </c>
      <c r="T10">
        <f>AVERAGE(K706:K726)</f>
        <v>2.4820952380952381E-2</v>
      </c>
      <c r="V10">
        <f t="shared" si="0"/>
        <v>2.2929395790902922</v>
      </c>
      <c r="W10">
        <f t="shared" si="1"/>
        <v>1.2287095471497911</v>
      </c>
    </row>
    <row r="11" spans="3:23">
      <c r="C11">
        <v>50</v>
      </c>
      <c r="D11">
        <v>4.2900000000000004E-3</v>
      </c>
      <c r="E11">
        <v>0.13783000000000001</v>
      </c>
      <c r="F11">
        <v>3.1099999999999999E-2</v>
      </c>
      <c r="H11">
        <v>48</v>
      </c>
      <c r="I11">
        <v>5.8300000000000001E-3</v>
      </c>
      <c r="J11">
        <v>0.10621</v>
      </c>
      <c r="K11">
        <v>5.4899999999999997E-2</v>
      </c>
      <c r="N11">
        <v>800</v>
      </c>
    </row>
    <row r="12" spans="3:23">
      <c r="C12">
        <v>50</v>
      </c>
      <c r="D12">
        <v>0</v>
      </c>
      <c r="E12">
        <v>8.6790000000000006E-2</v>
      </c>
      <c r="F12">
        <v>0</v>
      </c>
      <c r="H12">
        <v>48</v>
      </c>
      <c r="I12">
        <v>0</v>
      </c>
      <c r="J12">
        <v>0.10728</v>
      </c>
      <c r="K12">
        <v>0</v>
      </c>
      <c r="N12">
        <v>900</v>
      </c>
    </row>
    <row r="13" spans="3:23">
      <c r="C13">
        <v>56</v>
      </c>
      <c r="D13">
        <v>1.545E-2</v>
      </c>
      <c r="E13">
        <v>0.15833</v>
      </c>
      <c r="F13">
        <v>9.758E-2</v>
      </c>
      <c r="H13">
        <v>49</v>
      </c>
      <c r="I13">
        <v>1.0970000000000001E-2</v>
      </c>
      <c r="J13">
        <v>6.2149999999999997E-2</v>
      </c>
      <c r="K13">
        <v>0.17648</v>
      </c>
      <c r="N13">
        <v>1000</v>
      </c>
    </row>
    <row r="14" spans="3:23">
      <c r="C14">
        <v>59</v>
      </c>
      <c r="D14">
        <v>2.018E-2</v>
      </c>
      <c r="E14">
        <v>7.7310000000000004E-2</v>
      </c>
      <c r="F14">
        <v>0.26107999999999998</v>
      </c>
      <c r="H14">
        <v>51</v>
      </c>
      <c r="I14">
        <v>1.001E-2</v>
      </c>
      <c r="J14">
        <v>0.10219</v>
      </c>
      <c r="K14">
        <v>9.7970000000000002E-2</v>
      </c>
      <c r="N14">
        <v>1100</v>
      </c>
    </row>
    <row r="15" spans="3:23">
      <c r="C15">
        <v>61</v>
      </c>
      <c r="D15">
        <v>1.8579999999999999E-2</v>
      </c>
      <c r="E15">
        <v>3.7659999999999999E-2</v>
      </c>
      <c r="F15">
        <v>0.49342000000000003</v>
      </c>
      <c r="H15">
        <v>55</v>
      </c>
      <c r="I15">
        <v>3.8700000000000002E-3</v>
      </c>
      <c r="J15">
        <v>0.15912999999999999</v>
      </c>
      <c r="K15">
        <v>2.4309999999999998E-2</v>
      </c>
      <c r="N15">
        <v>1200</v>
      </c>
    </row>
    <row r="16" spans="3:23">
      <c r="C16">
        <v>61</v>
      </c>
      <c r="D16">
        <v>1.7819999999999999E-2</v>
      </c>
      <c r="E16">
        <v>4.7309999999999998E-2</v>
      </c>
      <c r="F16">
        <v>0.37663000000000002</v>
      </c>
      <c r="H16">
        <v>55</v>
      </c>
      <c r="I16">
        <v>1.338E-2</v>
      </c>
      <c r="J16">
        <v>0.14260999999999999</v>
      </c>
      <c r="K16">
        <v>9.3810000000000004E-2</v>
      </c>
      <c r="N16">
        <v>1300</v>
      </c>
    </row>
    <row r="17" spans="3:14">
      <c r="C17">
        <v>62</v>
      </c>
      <c r="D17">
        <v>6.8199999999999997E-3</v>
      </c>
      <c r="E17">
        <v>5.9110000000000003E-2</v>
      </c>
      <c r="F17">
        <v>0.1154</v>
      </c>
      <c r="H17">
        <v>55</v>
      </c>
      <c r="I17">
        <v>1.1129999999999999E-2</v>
      </c>
      <c r="J17">
        <v>0.12196</v>
      </c>
      <c r="K17">
        <v>9.128E-2</v>
      </c>
      <c r="N17">
        <v>1400</v>
      </c>
    </row>
    <row r="18" spans="3:14">
      <c r="C18">
        <v>62</v>
      </c>
      <c r="D18">
        <v>1.106E-2</v>
      </c>
      <c r="E18">
        <v>0.17891000000000001</v>
      </c>
      <c r="F18">
        <v>6.1839999999999999E-2</v>
      </c>
      <c r="H18">
        <v>56</v>
      </c>
      <c r="I18">
        <v>1.413E-2</v>
      </c>
      <c r="J18">
        <v>0.13841000000000001</v>
      </c>
      <c r="K18">
        <v>0.10206999999999999</v>
      </c>
    </row>
    <row r="19" spans="3:14">
      <c r="C19">
        <v>63</v>
      </c>
      <c r="D19">
        <v>6.9199999999999999E-3</v>
      </c>
      <c r="E19">
        <v>0.11264</v>
      </c>
      <c r="F19">
        <v>6.1420000000000002E-2</v>
      </c>
      <c r="H19">
        <v>56</v>
      </c>
      <c r="I19">
        <v>3.8E-3</v>
      </c>
      <c r="J19">
        <v>7.9820000000000002E-2</v>
      </c>
      <c r="K19">
        <v>4.7640000000000002E-2</v>
      </c>
    </row>
    <row r="20" spans="3:14">
      <c r="C20">
        <v>63</v>
      </c>
      <c r="D20">
        <v>4.5500000000000002E-3</v>
      </c>
      <c r="E20">
        <v>9.5490000000000005E-2</v>
      </c>
      <c r="F20">
        <v>4.7600000000000003E-2</v>
      </c>
      <c r="H20">
        <v>57</v>
      </c>
      <c r="I20">
        <v>4.5799999999999999E-3</v>
      </c>
      <c r="J20">
        <v>0.14577999999999999</v>
      </c>
      <c r="K20">
        <v>3.1399999999999997E-2</v>
      </c>
    </row>
    <row r="21" spans="3:14">
      <c r="C21">
        <v>64</v>
      </c>
      <c r="D21">
        <v>9.9799999999999993E-3</v>
      </c>
      <c r="E21">
        <v>0.11247</v>
      </c>
      <c r="F21">
        <v>8.8719999999999993E-2</v>
      </c>
      <c r="H21">
        <v>59</v>
      </c>
      <c r="I21">
        <v>0</v>
      </c>
      <c r="J21">
        <v>6.2600000000000003E-2</v>
      </c>
      <c r="K21">
        <v>0</v>
      </c>
    </row>
    <row r="22" spans="3:14">
      <c r="C22">
        <v>64</v>
      </c>
      <c r="D22">
        <v>0</v>
      </c>
      <c r="E22">
        <v>6.0659999999999999E-2</v>
      </c>
      <c r="F22">
        <v>0</v>
      </c>
      <c r="H22">
        <v>60</v>
      </c>
      <c r="I22">
        <v>1.1339999999999999E-2</v>
      </c>
      <c r="J22">
        <v>8.7819999999999995E-2</v>
      </c>
      <c r="K22">
        <v>0.12909999999999999</v>
      </c>
    </row>
    <row r="23" spans="3:14">
      <c r="C23">
        <v>66</v>
      </c>
      <c r="D23">
        <v>6.5199999999999998E-3</v>
      </c>
      <c r="E23">
        <v>0.11166</v>
      </c>
      <c r="F23">
        <v>5.8400000000000001E-2</v>
      </c>
      <c r="H23">
        <v>60</v>
      </c>
      <c r="I23">
        <v>0</v>
      </c>
      <c r="J23">
        <v>0.13098000000000001</v>
      </c>
      <c r="K23">
        <v>0</v>
      </c>
    </row>
    <row r="24" spans="3:14">
      <c r="C24">
        <v>66</v>
      </c>
      <c r="D24">
        <v>3.32E-3</v>
      </c>
      <c r="E24">
        <v>0.14831</v>
      </c>
      <c r="F24">
        <v>2.2380000000000001E-2</v>
      </c>
      <c r="H24">
        <v>61</v>
      </c>
      <c r="I24">
        <v>0</v>
      </c>
      <c r="J24">
        <v>0.12255000000000001</v>
      </c>
      <c r="K24">
        <v>0</v>
      </c>
    </row>
    <row r="25" spans="3:14">
      <c r="C25">
        <v>67</v>
      </c>
      <c r="D25">
        <v>1.146E-2</v>
      </c>
      <c r="E25">
        <v>0.10396</v>
      </c>
      <c r="F25">
        <v>0.11024</v>
      </c>
      <c r="H25">
        <v>61</v>
      </c>
      <c r="I25">
        <v>0</v>
      </c>
      <c r="J25">
        <v>0.15190000000000001</v>
      </c>
      <c r="K25">
        <v>0</v>
      </c>
    </row>
    <row r="26" spans="3:14">
      <c r="C26">
        <v>67</v>
      </c>
      <c r="D26">
        <v>3.2799999999999999E-3</v>
      </c>
      <c r="E26">
        <v>4.3619999999999999E-2</v>
      </c>
      <c r="F26">
        <v>7.5079999999999994E-2</v>
      </c>
      <c r="H26">
        <v>61</v>
      </c>
      <c r="I26">
        <v>8.5599999999999999E-3</v>
      </c>
      <c r="J26">
        <v>0.11097</v>
      </c>
      <c r="K26">
        <v>7.7090000000000006E-2</v>
      </c>
    </row>
    <row r="27" spans="3:14">
      <c r="C27">
        <v>69</v>
      </c>
      <c r="D27">
        <v>1.2670000000000001E-2</v>
      </c>
      <c r="E27">
        <v>4.7359999999999999E-2</v>
      </c>
      <c r="F27">
        <v>0.26752999999999999</v>
      </c>
      <c r="H27">
        <v>62</v>
      </c>
      <c r="I27">
        <v>6.8799999999999998E-3</v>
      </c>
      <c r="J27">
        <v>0.12063</v>
      </c>
      <c r="K27">
        <v>5.7000000000000002E-2</v>
      </c>
    </row>
    <row r="28" spans="3:14">
      <c r="C28">
        <v>71</v>
      </c>
      <c r="D28">
        <v>0</v>
      </c>
      <c r="E28">
        <v>0.19867000000000001</v>
      </c>
      <c r="F28">
        <v>0</v>
      </c>
      <c r="H28">
        <v>63</v>
      </c>
      <c r="I28">
        <v>1.3350000000000001E-2</v>
      </c>
      <c r="J28">
        <v>0.12559999999999999</v>
      </c>
      <c r="K28">
        <v>0.10631</v>
      </c>
    </row>
    <row r="29" spans="3:14">
      <c r="C29">
        <v>72</v>
      </c>
      <c r="D29">
        <v>7.8799999999999999E-3</v>
      </c>
      <c r="E29">
        <v>6.991E-2</v>
      </c>
      <c r="F29">
        <v>0.11274000000000001</v>
      </c>
      <c r="H29">
        <v>63</v>
      </c>
      <c r="I29">
        <v>1.3350000000000001E-2</v>
      </c>
      <c r="J29">
        <v>0.12559999999999999</v>
      </c>
      <c r="K29">
        <v>0.10631</v>
      </c>
    </row>
    <row r="30" spans="3:14">
      <c r="C30">
        <v>72</v>
      </c>
      <c r="D30">
        <v>0</v>
      </c>
      <c r="E30">
        <v>0.16780999999999999</v>
      </c>
      <c r="F30">
        <v>0</v>
      </c>
      <c r="H30">
        <v>63</v>
      </c>
      <c r="I30">
        <v>1.602E-2</v>
      </c>
      <c r="J30">
        <v>6.7570000000000005E-2</v>
      </c>
      <c r="K30">
        <v>0.23713000000000001</v>
      </c>
    </row>
    <row r="31" spans="3:14">
      <c r="C31">
        <v>74</v>
      </c>
      <c r="D31">
        <v>6.6100000000000004E-3</v>
      </c>
      <c r="E31">
        <v>0.10188999999999999</v>
      </c>
      <c r="F31">
        <v>6.4890000000000003E-2</v>
      </c>
      <c r="H31">
        <v>63</v>
      </c>
      <c r="I31">
        <v>0</v>
      </c>
      <c r="J31">
        <v>0.19636000000000001</v>
      </c>
      <c r="K31">
        <v>0</v>
      </c>
    </row>
    <row r="32" spans="3:14">
      <c r="C32">
        <v>76</v>
      </c>
      <c r="D32">
        <v>2.138E-2</v>
      </c>
      <c r="E32">
        <v>9.7619999999999998E-2</v>
      </c>
      <c r="F32">
        <v>0.21903</v>
      </c>
      <c r="H32">
        <v>65</v>
      </c>
      <c r="I32">
        <v>2.5600000000000002E-3</v>
      </c>
      <c r="J32">
        <v>8.4419999999999995E-2</v>
      </c>
      <c r="K32">
        <v>3.032E-2</v>
      </c>
    </row>
    <row r="33" spans="3:11">
      <c r="C33">
        <v>77</v>
      </c>
      <c r="D33">
        <v>1.5650000000000001E-2</v>
      </c>
      <c r="E33">
        <v>7.0879999999999999E-2</v>
      </c>
      <c r="F33">
        <v>0.22086</v>
      </c>
      <c r="H33">
        <v>66</v>
      </c>
      <c r="I33">
        <v>1.069E-2</v>
      </c>
      <c r="J33">
        <v>0.10731</v>
      </c>
      <c r="K33">
        <v>9.9629999999999996E-2</v>
      </c>
    </row>
    <row r="34" spans="3:11">
      <c r="C34">
        <v>81</v>
      </c>
      <c r="D34">
        <v>5.94E-3</v>
      </c>
      <c r="E34">
        <v>6.1879999999999998E-2</v>
      </c>
      <c r="F34">
        <v>9.5979999999999996E-2</v>
      </c>
      <c r="H34">
        <v>66</v>
      </c>
      <c r="I34">
        <v>2.6099999999999999E-3</v>
      </c>
      <c r="J34">
        <v>0.15051999999999999</v>
      </c>
      <c r="K34">
        <v>1.737E-2</v>
      </c>
    </row>
    <row r="35" spans="3:11">
      <c r="C35">
        <v>81</v>
      </c>
      <c r="D35">
        <v>0</v>
      </c>
      <c r="E35">
        <v>7.596E-2</v>
      </c>
      <c r="F35">
        <v>0</v>
      </c>
      <c r="H35">
        <v>67</v>
      </c>
      <c r="I35">
        <v>0</v>
      </c>
      <c r="J35">
        <v>0.12958</v>
      </c>
      <c r="K35">
        <v>0</v>
      </c>
    </row>
    <row r="36" spans="3:11">
      <c r="C36">
        <v>82</v>
      </c>
      <c r="D36">
        <v>0</v>
      </c>
      <c r="E36">
        <v>7.1760000000000004E-2</v>
      </c>
      <c r="F36">
        <v>0</v>
      </c>
      <c r="H36">
        <v>67</v>
      </c>
      <c r="I36">
        <v>1.2999999999999999E-2</v>
      </c>
      <c r="J36">
        <v>0.12639</v>
      </c>
      <c r="K36">
        <v>0.10287</v>
      </c>
    </row>
    <row r="37" spans="3:11">
      <c r="C37">
        <v>86</v>
      </c>
      <c r="D37">
        <v>4.9399999999999999E-3</v>
      </c>
      <c r="E37">
        <v>7.1940000000000004E-2</v>
      </c>
      <c r="F37">
        <v>6.8610000000000004E-2</v>
      </c>
      <c r="H37">
        <v>69</v>
      </c>
      <c r="I37">
        <v>3.1700000000000001E-3</v>
      </c>
      <c r="J37">
        <v>5.3539999999999997E-2</v>
      </c>
      <c r="K37">
        <v>5.9299999999999999E-2</v>
      </c>
    </row>
    <row r="38" spans="3:11">
      <c r="C38">
        <v>87</v>
      </c>
      <c r="D38">
        <v>2.86E-2</v>
      </c>
      <c r="E38">
        <v>2.9159999999999998E-2</v>
      </c>
      <c r="F38">
        <v>0.98065999999999998</v>
      </c>
      <c r="H38">
        <v>69</v>
      </c>
      <c r="I38">
        <v>1.2460000000000001E-2</v>
      </c>
      <c r="J38">
        <v>9.6729999999999997E-2</v>
      </c>
      <c r="K38">
        <v>0.1288</v>
      </c>
    </row>
    <row r="39" spans="3:11">
      <c r="C39">
        <v>87</v>
      </c>
      <c r="D39">
        <v>0</v>
      </c>
      <c r="E39">
        <v>0.11864</v>
      </c>
      <c r="F39">
        <v>0</v>
      </c>
      <c r="H39">
        <v>69</v>
      </c>
      <c r="I39">
        <v>6.4200000000000004E-3</v>
      </c>
      <c r="J39">
        <v>0.13105</v>
      </c>
      <c r="K39">
        <v>4.9020000000000001E-2</v>
      </c>
    </row>
    <row r="40" spans="3:11">
      <c r="C40">
        <v>92</v>
      </c>
      <c r="D40">
        <v>1.4760000000000001E-2</v>
      </c>
      <c r="E40">
        <v>0.1358</v>
      </c>
      <c r="F40">
        <v>0.10867</v>
      </c>
      <c r="H40">
        <v>70</v>
      </c>
      <c r="I40">
        <v>0</v>
      </c>
      <c r="J40">
        <v>0.10851</v>
      </c>
      <c r="K40">
        <v>0</v>
      </c>
    </row>
    <row r="41" spans="3:11">
      <c r="C41">
        <v>92</v>
      </c>
      <c r="D41">
        <v>2.2899999999999999E-3</v>
      </c>
      <c r="E41">
        <v>0.10716000000000001</v>
      </c>
      <c r="F41">
        <v>2.1409999999999998E-2</v>
      </c>
      <c r="H41">
        <v>74</v>
      </c>
      <c r="I41">
        <v>6.5599999999999999E-3</v>
      </c>
      <c r="J41">
        <v>0.14268</v>
      </c>
      <c r="K41">
        <v>4.5949999999999998E-2</v>
      </c>
    </row>
    <row r="42" spans="3:11">
      <c r="C42">
        <v>94</v>
      </c>
      <c r="D42">
        <v>4.7999999999999996E-3</v>
      </c>
      <c r="E42">
        <v>9.8900000000000002E-2</v>
      </c>
      <c r="F42">
        <v>4.854E-2</v>
      </c>
      <c r="H42">
        <v>74</v>
      </c>
      <c r="I42">
        <v>9.3399999999999993E-3</v>
      </c>
      <c r="J42">
        <v>0.12964000000000001</v>
      </c>
      <c r="K42">
        <v>7.2020000000000001E-2</v>
      </c>
    </row>
    <row r="43" spans="3:11">
      <c r="C43">
        <v>95</v>
      </c>
      <c r="D43">
        <v>1.013E-2</v>
      </c>
      <c r="E43">
        <v>9.2810000000000004E-2</v>
      </c>
      <c r="F43">
        <v>0.10918</v>
      </c>
      <c r="H43">
        <v>74</v>
      </c>
      <c r="I43">
        <v>0</v>
      </c>
      <c r="J43">
        <v>6.0769999999999998E-2</v>
      </c>
      <c r="K43">
        <v>0</v>
      </c>
    </row>
    <row r="44" spans="3:11">
      <c r="C44">
        <v>95</v>
      </c>
      <c r="D44">
        <v>4.5300000000000002E-3</v>
      </c>
      <c r="E44">
        <v>0.11352</v>
      </c>
      <c r="F44">
        <v>3.9910000000000001E-2</v>
      </c>
      <c r="H44">
        <v>75</v>
      </c>
      <c r="I44">
        <v>3.4099999999999998E-3</v>
      </c>
      <c r="J44">
        <v>0.12866</v>
      </c>
      <c r="K44">
        <v>2.648E-2</v>
      </c>
    </row>
    <row r="45" spans="3:11">
      <c r="C45">
        <v>95</v>
      </c>
      <c r="D45">
        <v>5.2500000000000003E-3</v>
      </c>
      <c r="E45">
        <v>0.15090000000000001</v>
      </c>
      <c r="F45">
        <v>3.4810000000000001E-2</v>
      </c>
      <c r="H45">
        <v>76</v>
      </c>
      <c r="I45">
        <v>1.3050000000000001E-2</v>
      </c>
      <c r="J45">
        <v>6.7040000000000002E-2</v>
      </c>
      <c r="K45">
        <v>0.19470000000000001</v>
      </c>
    </row>
    <row r="46" spans="3:11">
      <c r="C46">
        <v>96</v>
      </c>
      <c r="D46">
        <v>9.3699999999999999E-3</v>
      </c>
      <c r="E46">
        <v>9.0730000000000005E-2</v>
      </c>
      <c r="F46">
        <v>0.10324</v>
      </c>
      <c r="H46">
        <v>76</v>
      </c>
      <c r="I46">
        <v>7.3200000000000001E-3</v>
      </c>
      <c r="J46">
        <v>6.7269999999999996E-2</v>
      </c>
      <c r="K46">
        <v>0.10881</v>
      </c>
    </row>
    <row r="47" spans="3:11">
      <c r="C47">
        <v>96</v>
      </c>
      <c r="D47">
        <v>4.6600000000000001E-3</v>
      </c>
      <c r="E47">
        <v>0.15745999999999999</v>
      </c>
      <c r="F47">
        <v>2.962E-2</v>
      </c>
      <c r="H47">
        <v>76</v>
      </c>
      <c r="I47">
        <v>0</v>
      </c>
      <c r="J47">
        <v>6.6540000000000002E-2</v>
      </c>
      <c r="K47">
        <v>0</v>
      </c>
    </row>
    <row r="48" spans="3:11">
      <c r="C48">
        <v>98</v>
      </c>
      <c r="D48">
        <v>1.333E-2</v>
      </c>
      <c r="E48">
        <v>6.3600000000000002E-3</v>
      </c>
      <c r="F48">
        <v>2.09653</v>
      </c>
      <c r="H48">
        <v>76</v>
      </c>
      <c r="I48">
        <v>4.9199999999999999E-3</v>
      </c>
      <c r="J48">
        <v>8.0060000000000006E-2</v>
      </c>
      <c r="K48">
        <v>6.1440000000000002E-2</v>
      </c>
    </row>
    <row r="49" spans="3:11">
      <c r="C49">
        <v>100</v>
      </c>
      <c r="D49">
        <v>1.4149999999999999E-2</v>
      </c>
      <c r="E49">
        <v>9.3990000000000004E-2</v>
      </c>
      <c r="F49">
        <v>0.15057999999999999</v>
      </c>
      <c r="H49">
        <v>77</v>
      </c>
      <c r="I49">
        <v>3.3800000000000002E-3</v>
      </c>
      <c r="J49">
        <v>7.2029999999999997E-2</v>
      </c>
      <c r="K49">
        <v>4.6980000000000001E-2</v>
      </c>
    </row>
    <row r="50" spans="3:11">
      <c r="C50">
        <v>104</v>
      </c>
      <c r="D50">
        <v>1.112E-2</v>
      </c>
      <c r="E50">
        <v>8.233E-2</v>
      </c>
      <c r="F50">
        <v>0.13506000000000001</v>
      </c>
      <c r="H50">
        <v>78</v>
      </c>
      <c r="I50">
        <v>2.2799999999999999E-3</v>
      </c>
      <c r="J50">
        <v>8.9760000000000006E-2</v>
      </c>
      <c r="K50">
        <v>2.545E-2</v>
      </c>
    </row>
    <row r="51" spans="3:11">
      <c r="C51">
        <v>105</v>
      </c>
      <c r="D51">
        <v>4.9399999999999999E-3</v>
      </c>
      <c r="E51">
        <v>9.264E-2</v>
      </c>
      <c r="F51">
        <v>5.3280000000000001E-2</v>
      </c>
      <c r="H51">
        <v>78</v>
      </c>
      <c r="I51">
        <v>0</v>
      </c>
      <c r="J51">
        <v>9.7549999999999998E-2</v>
      </c>
      <c r="K51">
        <v>0</v>
      </c>
    </row>
    <row r="52" spans="3:11">
      <c r="C52">
        <v>106</v>
      </c>
      <c r="D52">
        <v>6.4999999999999997E-3</v>
      </c>
      <c r="E52">
        <v>0.10897</v>
      </c>
      <c r="F52">
        <v>5.9659999999999998E-2</v>
      </c>
      <c r="H52">
        <v>79</v>
      </c>
      <c r="I52">
        <v>0</v>
      </c>
      <c r="J52">
        <v>6.0720000000000003E-2</v>
      </c>
      <c r="K52">
        <v>0</v>
      </c>
    </row>
    <row r="53" spans="3:11">
      <c r="C53">
        <v>106</v>
      </c>
      <c r="D53">
        <v>7.3699999999999998E-3</v>
      </c>
      <c r="E53">
        <v>0.17462</v>
      </c>
      <c r="F53">
        <v>4.2189999999999998E-2</v>
      </c>
      <c r="H53">
        <v>79</v>
      </c>
      <c r="I53">
        <v>1.133E-2</v>
      </c>
      <c r="J53">
        <v>0.15287000000000001</v>
      </c>
      <c r="K53">
        <v>7.4130000000000001E-2</v>
      </c>
    </row>
    <row r="54" spans="3:11">
      <c r="C54">
        <v>106</v>
      </c>
      <c r="D54">
        <v>2.3400000000000001E-3</v>
      </c>
      <c r="E54">
        <v>0.15572</v>
      </c>
      <c r="F54">
        <v>1.5049999999999999E-2</v>
      </c>
      <c r="H54">
        <v>79</v>
      </c>
      <c r="I54">
        <v>1.362E-2</v>
      </c>
      <c r="J54">
        <v>9.0660000000000004E-2</v>
      </c>
      <c r="K54">
        <v>0.15023</v>
      </c>
    </row>
    <row r="55" spans="3:11">
      <c r="C55">
        <v>108</v>
      </c>
      <c r="D55">
        <v>2.6700000000000001E-3</v>
      </c>
      <c r="E55">
        <v>0.11899999999999999</v>
      </c>
      <c r="F55">
        <v>2.2419999999999999E-2</v>
      </c>
      <c r="H55">
        <v>79</v>
      </c>
      <c r="I55">
        <v>0</v>
      </c>
      <c r="J55">
        <v>4.3810000000000002E-2</v>
      </c>
      <c r="K55">
        <v>0</v>
      </c>
    </row>
    <row r="56" spans="3:11">
      <c r="C56">
        <v>109</v>
      </c>
      <c r="D56">
        <v>1.9869999999999999E-2</v>
      </c>
      <c r="E56">
        <v>4.0390000000000002E-2</v>
      </c>
      <c r="F56">
        <v>0.49206</v>
      </c>
      <c r="H56">
        <v>80</v>
      </c>
      <c r="I56">
        <v>6.5799999999999999E-3</v>
      </c>
      <c r="J56">
        <v>0.12970000000000001</v>
      </c>
      <c r="K56">
        <v>5.0700000000000002E-2</v>
      </c>
    </row>
    <row r="57" spans="3:11">
      <c r="C57">
        <v>110</v>
      </c>
      <c r="D57">
        <v>5.6699999999999997E-3</v>
      </c>
      <c r="E57">
        <v>9.1700000000000004E-2</v>
      </c>
      <c r="F57">
        <v>6.1800000000000001E-2</v>
      </c>
      <c r="H57">
        <v>81</v>
      </c>
      <c r="I57">
        <v>6.3400000000000001E-3</v>
      </c>
      <c r="J57">
        <v>0.11242000000000001</v>
      </c>
      <c r="K57">
        <v>5.6399999999999999E-2</v>
      </c>
    </row>
    <row r="58" spans="3:11">
      <c r="C58">
        <v>110</v>
      </c>
      <c r="D58">
        <v>3.8899999999999998E-3</v>
      </c>
      <c r="E58">
        <v>0.12853000000000001</v>
      </c>
      <c r="F58">
        <v>3.023E-2</v>
      </c>
      <c r="H58">
        <v>81</v>
      </c>
      <c r="I58">
        <v>3.1800000000000001E-3</v>
      </c>
      <c r="J58">
        <v>0.10290000000000001</v>
      </c>
      <c r="K58">
        <v>3.0939999999999999E-2</v>
      </c>
    </row>
    <row r="59" spans="3:11">
      <c r="C59">
        <v>110</v>
      </c>
      <c r="D59">
        <v>2.6900000000000001E-3</v>
      </c>
      <c r="E59">
        <v>0.12545999999999999</v>
      </c>
      <c r="F59">
        <v>2.147E-2</v>
      </c>
      <c r="H59">
        <v>82</v>
      </c>
      <c r="I59">
        <v>0</v>
      </c>
      <c r="J59">
        <v>3.6479999999999999E-2</v>
      </c>
      <c r="K59">
        <v>0</v>
      </c>
    </row>
    <row r="60" spans="3:11">
      <c r="C60">
        <v>113</v>
      </c>
      <c r="D60">
        <v>0</v>
      </c>
      <c r="E60">
        <v>5.9729999999999998E-2</v>
      </c>
      <c r="F60">
        <v>0</v>
      </c>
      <c r="H60">
        <v>82</v>
      </c>
      <c r="I60">
        <v>1.1050000000000001E-2</v>
      </c>
      <c r="J60">
        <v>0.12953000000000001</v>
      </c>
      <c r="K60">
        <v>8.5279999999999995E-2</v>
      </c>
    </row>
    <row r="61" spans="3:11">
      <c r="C61">
        <v>116</v>
      </c>
      <c r="D61">
        <v>0</v>
      </c>
      <c r="E61">
        <v>0.13148000000000001</v>
      </c>
      <c r="F61">
        <v>0</v>
      </c>
      <c r="H61">
        <v>82</v>
      </c>
      <c r="I61">
        <v>0</v>
      </c>
      <c r="J61">
        <v>0.21648000000000001</v>
      </c>
      <c r="K61">
        <v>0</v>
      </c>
    </row>
    <row r="62" spans="3:11">
      <c r="C62">
        <v>117</v>
      </c>
      <c r="D62">
        <v>4.3699999999999998E-3</v>
      </c>
      <c r="E62">
        <v>9.4700000000000006E-2</v>
      </c>
      <c r="F62">
        <v>4.6199999999999998E-2</v>
      </c>
      <c r="H62">
        <v>83</v>
      </c>
      <c r="I62">
        <v>5.0200000000000002E-3</v>
      </c>
      <c r="J62">
        <v>3.4979999999999997E-2</v>
      </c>
      <c r="K62">
        <v>0.14358000000000001</v>
      </c>
    </row>
    <row r="63" spans="3:11">
      <c r="C63">
        <v>117</v>
      </c>
      <c r="D63">
        <v>7.7400000000000004E-3</v>
      </c>
      <c r="E63">
        <v>0.17446</v>
      </c>
      <c r="F63">
        <v>4.437E-2</v>
      </c>
      <c r="H63">
        <v>84</v>
      </c>
      <c r="I63">
        <v>2.0400000000000001E-3</v>
      </c>
      <c r="J63">
        <v>0.11620999999999999</v>
      </c>
      <c r="K63">
        <v>1.7510000000000001E-2</v>
      </c>
    </row>
    <row r="64" spans="3:11">
      <c r="C64">
        <v>117</v>
      </c>
      <c r="D64">
        <v>5.47E-3</v>
      </c>
      <c r="E64">
        <v>0.17398</v>
      </c>
      <c r="F64">
        <v>3.1449999999999999E-2</v>
      </c>
      <c r="H64">
        <v>84</v>
      </c>
      <c r="I64">
        <v>7.7000000000000002E-3</v>
      </c>
      <c r="J64">
        <v>0.13148000000000001</v>
      </c>
      <c r="K64">
        <v>5.8560000000000001E-2</v>
      </c>
    </row>
    <row r="65" spans="3:11">
      <c r="C65">
        <v>118</v>
      </c>
      <c r="D65">
        <v>8.8199999999999997E-3</v>
      </c>
      <c r="E65">
        <v>0.13228999999999999</v>
      </c>
      <c r="F65">
        <v>6.6640000000000005E-2</v>
      </c>
      <c r="H65">
        <v>84</v>
      </c>
      <c r="I65">
        <v>7.3299999999999997E-3</v>
      </c>
      <c r="J65">
        <v>0.17655999999999999</v>
      </c>
      <c r="K65">
        <v>4.1520000000000001E-2</v>
      </c>
    </row>
    <row r="66" spans="3:11">
      <c r="C66">
        <v>124</v>
      </c>
      <c r="D66">
        <v>1.209E-2</v>
      </c>
      <c r="E66">
        <v>0.10549</v>
      </c>
      <c r="F66">
        <v>0.11461</v>
      </c>
      <c r="H66">
        <v>85</v>
      </c>
      <c r="I66">
        <v>0</v>
      </c>
      <c r="J66">
        <v>6.1960000000000001E-2</v>
      </c>
      <c r="K66">
        <v>0</v>
      </c>
    </row>
    <row r="67" spans="3:11">
      <c r="C67">
        <v>126</v>
      </c>
      <c r="D67">
        <v>2.2899999999999999E-3</v>
      </c>
      <c r="E67">
        <v>0.11434</v>
      </c>
      <c r="F67">
        <v>2.001E-2</v>
      </c>
      <c r="H67">
        <v>85</v>
      </c>
      <c r="I67">
        <v>3.2599999999999999E-3</v>
      </c>
      <c r="J67">
        <v>5.9909999999999998E-2</v>
      </c>
      <c r="K67">
        <v>5.4370000000000002E-2</v>
      </c>
    </row>
    <row r="68" spans="3:11">
      <c r="C68">
        <v>127</v>
      </c>
      <c r="D68">
        <v>8.8800000000000007E-3</v>
      </c>
      <c r="E68">
        <v>9.8699999999999996E-2</v>
      </c>
      <c r="F68">
        <v>8.9940000000000006E-2</v>
      </c>
      <c r="H68">
        <v>85</v>
      </c>
      <c r="I68">
        <v>5.8500000000000002E-3</v>
      </c>
      <c r="J68">
        <v>3.1309999999999998E-2</v>
      </c>
      <c r="K68">
        <v>0.18690000000000001</v>
      </c>
    </row>
    <row r="69" spans="3:11">
      <c r="C69">
        <v>128</v>
      </c>
      <c r="D69">
        <v>4.0000000000000001E-3</v>
      </c>
      <c r="E69">
        <v>8.7760000000000005E-2</v>
      </c>
      <c r="F69">
        <v>4.5609999999999998E-2</v>
      </c>
      <c r="H69">
        <v>86</v>
      </c>
      <c r="I69">
        <v>0</v>
      </c>
      <c r="J69">
        <v>0.1173</v>
      </c>
      <c r="K69">
        <v>0</v>
      </c>
    </row>
    <row r="70" spans="3:11">
      <c r="C70">
        <v>128</v>
      </c>
      <c r="D70">
        <v>5.4900000000000001E-3</v>
      </c>
      <c r="E70">
        <v>0.14027999999999999</v>
      </c>
      <c r="F70">
        <v>3.9170000000000003E-2</v>
      </c>
      <c r="H70">
        <v>86</v>
      </c>
      <c r="I70">
        <v>1.813E-2</v>
      </c>
      <c r="J70">
        <v>7.109E-2</v>
      </c>
      <c r="K70">
        <v>0.25509999999999999</v>
      </c>
    </row>
    <row r="71" spans="3:11">
      <c r="C71">
        <v>130</v>
      </c>
      <c r="D71">
        <v>1.038E-2</v>
      </c>
      <c r="E71">
        <v>0.15572</v>
      </c>
      <c r="F71">
        <v>6.6680000000000003E-2</v>
      </c>
      <c r="H71">
        <v>87</v>
      </c>
      <c r="I71">
        <v>0</v>
      </c>
      <c r="J71">
        <v>0.13361000000000001</v>
      </c>
      <c r="K71">
        <v>0</v>
      </c>
    </row>
    <row r="72" spans="3:11">
      <c r="C72">
        <v>130</v>
      </c>
      <c r="D72">
        <v>3.8400000000000001E-3</v>
      </c>
      <c r="E72">
        <v>0.15179000000000001</v>
      </c>
      <c r="F72">
        <v>2.5309999999999999E-2</v>
      </c>
      <c r="H72">
        <v>88</v>
      </c>
      <c r="I72">
        <v>1.018E-2</v>
      </c>
      <c r="J72">
        <v>1.9019999999999999E-2</v>
      </c>
      <c r="K72">
        <v>0.53502000000000005</v>
      </c>
    </row>
    <row r="73" spans="3:11">
      <c r="C73">
        <v>131</v>
      </c>
      <c r="D73">
        <v>3.9699999999999996E-3</v>
      </c>
      <c r="E73">
        <v>5.3650000000000003E-2</v>
      </c>
      <c r="F73">
        <v>7.3999999999999996E-2</v>
      </c>
      <c r="H73">
        <v>88</v>
      </c>
      <c r="I73">
        <v>5.6299999999999996E-3</v>
      </c>
      <c r="J73">
        <v>0.12486999999999999</v>
      </c>
      <c r="K73">
        <v>4.5069999999999999E-2</v>
      </c>
    </row>
    <row r="74" spans="3:11">
      <c r="C74">
        <v>132</v>
      </c>
      <c r="D74">
        <v>1.9599999999999999E-3</v>
      </c>
      <c r="E74">
        <v>7.3910000000000003E-2</v>
      </c>
      <c r="F74">
        <v>2.656E-2</v>
      </c>
      <c r="H74">
        <v>88</v>
      </c>
      <c r="I74">
        <v>9.1999999999999998E-3</v>
      </c>
      <c r="J74">
        <v>4.9639999999999997E-2</v>
      </c>
      <c r="K74">
        <v>0.18525</v>
      </c>
    </row>
    <row r="75" spans="3:11">
      <c r="C75">
        <v>135</v>
      </c>
      <c r="D75">
        <v>1.6100000000000001E-3</v>
      </c>
      <c r="E75">
        <v>0.16794999999999999</v>
      </c>
      <c r="F75">
        <v>9.6100000000000005E-3</v>
      </c>
      <c r="H75">
        <v>88</v>
      </c>
      <c r="I75">
        <v>2.0140000000000002E-2</v>
      </c>
      <c r="J75">
        <v>7.9890000000000003E-2</v>
      </c>
      <c r="K75">
        <v>0.25206000000000001</v>
      </c>
    </row>
    <row r="76" spans="3:11">
      <c r="C76">
        <v>136</v>
      </c>
      <c r="D76">
        <v>1.537E-2</v>
      </c>
      <c r="E76">
        <v>9.3670000000000003E-2</v>
      </c>
      <c r="F76">
        <v>0.16411000000000001</v>
      </c>
      <c r="H76">
        <v>89</v>
      </c>
      <c r="I76">
        <v>1.393E-2</v>
      </c>
      <c r="J76">
        <v>0.13739999999999999</v>
      </c>
      <c r="K76">
        <v>0.10141</v>
      </c>
    </row>
    <row r="77" spans="3:11">
      <c r="C77">
        <v>136</v>
      </c>
      <c r="D77">
        <v>1.022E-2</v>
      </c>
      <c r="E77">
        <v>0.13885</v>
      </c>
      <c r="F77">
        <v>7.3630000000000001E-2</v>
      </c>
      <c r="H77">
        <v>89</v>
      </c>
      <c r="I77">
        <v>1.393E-2</v>
      </c>
      <c r="J77">
        <v>0.13739999999999999</v>
      </c>
      <c r="K77">
        <v>0.10141</v>
      </c>
    </row>
    <row r="78" spans="3:11">
      <c r="C78">
        <v>137</v>
      </c>
      <c r="D78">
        <v>1.021E-2</v>
      </c>
      <c r="E78">
        <v>0.10971</v>
      </c>
      <c r="F78">
        <v>9.3049999999999994E-2</v>
      </c>
      <c r="H78">
        <v>90</v>
      </c>
      <c r="I78">
        <v>4.7400000000000003E-3</v>
      </c>
      <c r="J78">
        <v>0.11966</v>
      </c>
      <c r="K78">
        <v>3.9570000000000001E-2</v>
      </c>
    </row>
    <row r="79" spans="3:11">
      <c r="C79">
        <v>137</v>
      </c>
      <c r="D79">
        <v>3.0999999999999999E-3</v>
      </c>
      <c r="E79">
        <v>9.5880000000000007E-2</v>
      </c>
      <c r="F79">
        <v>3.236E-2</v>
      </c>
      <c r="H79">
        <v>90</v>
      </c>
      <c r="I79">
        <v>1.98E-3</v>
      </c>
      <c r="J79">
        <v>0.13005</v>
      </c>
      <c r="K79">
        <v>1.52E-2</v>
      </c>
    </row>
    <row r="80" spans="3:11">
      <c r="C80">
        <v>141</v>
      </c>
      <c r="D80">
        <v>4.8399999999999997E-3</v>
      </c>
      <c r="E80">
        <v>0.13843</v>
      </c>
      <c r="F80">
        <v>3.4979999999999997E-2</v>
      </c>
      <c r="H80">
        <v>90</v>
      </c>
      <c r="I80">
        <v>0</v>
      </c>
      <c r="J80">
        <v>2.733E-2</v>
      </c>
      <c r="K80">
        <v>0</v>
      </c>
    </row>
    <row r="81" spans="3:11">
      <c r="C81">
        <v>143</v>
      </c>
      <c r="D81">
        <v>7.0099999999999997E-3</v>
      </c>
      <c r="E81">
        <v>8.1460000000000005E-2</v>
      </c>
      <c r="F81">
        <v>8.6059999999999998E-2</v>
      </c>
      <c r="H81">
        <v>90</v>
      </c>
      <c r="I81">
        <v>9.4199999999999996E-3</v>
      </c>
      <c r="J81">
        <v>0.10621999999999999</v>
      </c>
      <c r="K81">
        <v>8.8679999999999995E-2</v>
      </c>
    </row>
    <row r="82" spans="3:11">
      <c r="C82">
        <v>143</v>
      </c>
      <c r="D82">
        <v>2.0400000000000001E-3</v>
      </c>
      <c r="E82">
        <v>5.1740000000000001E-2</v>
      </c>
      <c r="F82">
        <v>3.9379999999999998E-2</v>
      </c>
      <c r="H82">
        <v>91</v>
      </c>
      <c r="I82">
        <v>8.4700000000000001E-3</v>
      </c>
      <c r="J82">
        <v>4.6309999999999997E-2</v>
      </c>
      <c r="K82">
        <v>0.18285000000000001</v>
      </c>
    </row>
    <row r="83" spans="3:11">
      <c r="C83">
        <v>145</v>
      </c>
      <c r="D83">
        <v>0</v>
      </c>
      <c r="E83">
        <v>9.5089999999999994E-2</v>
      </c>
      <c r="F83">
        <v>0</v>
      </c>
      <c r="H83">
        <v>91</v>
      </c>
      <c r="I83">
        <v>5.3600000000000002E-3</v>
      </c>
      <c r="J83">
        <v>9.5920000000000005E-2</v>
      </c>
      <c r="K83">
        <v>5.5870000000000003E-2</v>
      </c>
    </row>
    <row r="84" spans="3:11">
      <c r="C84">
        <v>148</v>
      </c>
      <c r="D84">
        <v>4.3299999999999996E-3</v>
      </c>
      <c r="E84">
        <v>0.13031000000000001</v>
      </c>
      <c r="F84">
        <v>3.3259999999999998E-2</v>
      </c>
      <c r="H84">
        <v>92</v>
      </c>
      <c r="I84">
        <v>2.8500000000000001E-3</v>
      </c>
      <c r="J84">
        <v>6.5189999999999998E-2</v>
      </c>
      <c r="K84">
        <v>4.3740000000000001E-2</v>
      </c>
    </row>
    <row r="85" spans="3:11">
      <c r="C85">
        <v>148</v>
      </c>
      <c r="D85">
        <v>1.14E-3</v>
      </c>
      <c r="E85">
        <v>7.9430000000000001E-2</v>
      </c>
      <c r="F85">
        <v>1.431E-2</v>
      </c>
      <c r="H85">
        <v>93</v>
      </c>
      <c r="I85">
        <v>2.2899999999999999E-3</v>
      </c>
      <c r="J85">
        <v>3.1179999999999999E-2</v>
      </c>
      <c r="K85">
        <v>7.356E-2</v>
      </c>
    </row>
    <row r="86" spans="3:11">
      <c r="C86">
        <v>151</v>
      </c>
      <c r="D86">
        <v>0</v>
      </c>
      <c r="E86">
        <v>0.13125999999999999</v>
      </c>
      <c r="F86">
        <v>0</v>
      </c>
      <c r="H86">
        <v>93</v>
      </c>
      <c r="I86">
        <v>7.6999999999999996E-4</v>
      </c>
      <c r="J86">
        <v>0.11157</v>
      </c>
      <c r="K86">
        <v>6.8999999999999999E-3</v>
      </c>
    </row>
    <row r="87" spans="3:11">
      <c r="C87">
        <v>153</v>
      </c>
      <c r="D87">
        <v>1.0200000000000001E-2</v>
      </c>
      <c r="E87">
        <v>0.11067</v>
      </c>
      <c r="F87">
        <v>9.2189999999999994E-2</v>
      </c>
      <c r="H87">
        <v>93</v>
      </c>
      <c r="I87">
        <v>6.79E-3</v>
      </c>
      <c r="J87">
        <v>0.12393999999999999</v>
      </c>
      <c r="K87">
        <v>5.4809999999999998E-2</v>
      </c>
    </row>
    <row r="88" spans="3:11">
      <c r="C88">
        <v>154</v>
      </c>
      <c r="D88">
        <v>1.255E-2</v>
      </c>
      <c r="E88">
        <v>0.11002000000000001</v>
      </c>
      <c r="F88">
        <v>0.11404</v>
      </c>
      <c r="H88">
        <v>95</v>
      </c>
      <c r="I88">
        <v>3.0100000000000001E-3</v>
      </c>
      <c r="J88">
        <v>3.2800000000000003E-2</v>
      </c>
      <c r="K88">
        <v>9.1819999999999999E-2</v>
      </c>
    </row>
    <row r="89" spans="3:11">
      <c r="C89">
        <v>154</v>
      </c>
      <c r="D89">
        <v>1.1199999999999999E-3</v>
      </c>
      <c r="E89">
        <v>7.1279999999999996E-2</v>
      </c>
      <c r="F89">
        <v>1.5730000000000001E-2</v>
      </c>
      <c r="H89">
        <v>95</v>
      </c>
      <c r="I89">
        <v>1.1379999999999999E-2</v>
      </c>
      <c r="J89">
        <v>0.11053</v>
      </c>
      <c r="K89">
        <v>0.10298</v>
      </c>
    </row>
    <row r="90" spans="3:11">
      <c r="C90">
        <v>157</v>
      </c>
      <c r="D90">
        <v>1.2290000000000001E-2</v>
      </c>
      <c r="E90">
        <v>8.4199999999999997E-2</v>
      </c>
      <c r="F90">
        <v>0.14599999999999999</v>
      </c>
      <c r="H90">
        <v>96</v>
      </c>
      <c r="I90">
        <v>0</v>
      </c>
      <c r="J90">
        <v>8.7599999999999997E-2</v>
      </c>
      <c r="K90">
        <v>0</v>
      </c>
    </row>
    <row r="91" spans="3:11">
      <c r="C91">
        <v>161</v>
      </c>
      <c r="D91">
        <v>9.1299999999999992E-3</v>
      </c>
      <c r="E91">
        <v>0.10528</v>
      </c>
      <c r="F91">
        <v>8.6669999999999997E-2</v>
      </c>
      <c r="H91">
        <v>96</v>
      </c>
      <c r="I91">
        <v>4.4400000000000004E-3</v>
      </c>
      <c r="J91">
        <v>7.7530000000000002E-2</v>
      </c>
      <c r="K91">
        <v>5.7209999999999997E-2</v>
      </c>
    </row>
    <row r="92" spans="3:11">
      <c r="C92">
        <v>162</v>
      </c>
      <c r="D92">
        <v>1.0359999999999999E-2</v>
      </c>
      <c r="E92">
        <v>0.10553</v>
      </c>
      <c r="F92">
        <v>9.8199999999999996E-2</v>
      </c>
      <c r="H92">
        <v>97</v>
      </c>
      <c r="I92">
        <v>2.2499999999999998E-3</v>
      </c>
      <c r="J92">
        <v>2.7490000000000001E-2</v>
      </c>
      <c r="K92">
        <v>8.1920000000000007E-2</v>
      </c>
    </row>
    <row r="93" spans="3:11">
      <c r="C93">
        <v>163</v>
      </c>
      <c r="D93">
        <v>0</v>
      </c>
      <c r="E93">
        <v>7.7109999999999998E-2</v>
      </c>
      <c r="F93">
        <v>0</v>
      </c>
      <c r="H93">
        <v>97</v>
      </c>
      <c r="I93">
        <v>1.5970000000000002E-2</v>
      </c>
      <c r="J93">
        <v>7.6270000000000004E-2</v>
      </c>
      <c r="K93">
        <v>0.20941000000000001</v>
      </c>
    </row>
    <row r="94" spans="3:11">
      <c r="C94">
        <v>164</v>
      </c>
      <c r="D94">
        <v>1.434E-2</v>
      </c>
      <c r="E94">
        <v>0.10797</v>
      </c>
      <c r="F94">
        <v>0.13281999999999999</v>
      </c>
      <c r="H94">
        <v>98</v>
      </c>
      <c r="I94">
        <v>1.414E-2</v>
      </c>
      <c r="J94">
        <v>6.2309999999999997E-2</v>
      </c>
      <c r="K94">
        <v>0.22691</v>
      </c>
    </row>
    <row r="95" spans="3:11">
      <c r="C95">
        <v>164</v>
      </c>
      <c r="D95">
        <v>5.5100000000000001E-3</v>
      </c>
      <c r="E95">
        <v>8.4610000000000005E-2</v>
      </c>
      <c r="F95">
        <v>6.5079999999999999E-2</v>
      </c>
      <c r="H95">
        <v>100</v>
      </c>
      <c r="I95">
        <v>5.0200000000000002E-3</v>
      </c>
      <c r="J95">
        <v>0.12415</v>
      </c>
      <c r="K95">
        <v>4.045E-2</v>
      </c>
    </row>
    <row r="96" spans="3:11">
      <c r="C96">
        <v>166</v>
      </c>
      <c r="D96">
        <v>8.0800000000000004E-3</v>
      </c>
      <c r="E96">
        <v>8.6279999999999996E-2</v>
      </c>
      <c r="F96">
        <v>9.3640000000000001E-2</v>
      </c>
      <c r="H96">
        <v>100</v>
      </c>
      <c r="I96">
        <v>0</v>
      </c>
      <c r="J96">
        <v>9.7549999999999998E-2</v>
      </c>
      <c r="K96">
        <v>0</v>
      </c>
    </row>
    <row r="97" spans="3:11">
      <c r="C97">
        <v>166</v>
      </c>
      <c r="D97">
        <v>8.9099999999999995E-3</v>
      </c>
      <c r="E97">
        <v>0.12895999999999999</v>
      </c>
      <c r="F97">
        <v>6.9120000000000001E-2</v>
      </c>
      <c r="H97">
        <v>101</v>
      </c>
      <c r="I97">
        <v>4.1399999999999996E-3</v>
      </c>
      <c r="J97">
        <v>0.17702999999999999</v>
      </c>
      <c r="K97">
        <v>2.3390000000000001E-2</v>
      </c>
    </row>
    <row r="98" spans="3:11">
      <c r="C98">
        <v>171</v>
      </c>
      <c r="D98">
        <v>1.026E-2</v>
      </c>
      <c r="E98">
        <v>9.8129999999999995E-2</v>
      </c>
      <c r="F98">
        <v>0.10453999999999999</v>
      </c>
      <c r="H98">
        <v>102</v>
      </c>
      <c r="I98">
        <v>6.4000000000000003E-3</v>
      </c>
      <c r="J98">
        <v>3.6859999999999997E-2</v>
      </c>
      <c r="K98">
        <v>0.17363999999999999</v>
      </c>
    </row>
    <row r="99" spans="3:11">
      <c r="C99">
        <v>173</v>
      </c>
      <c r="D99">
        <v>1.1429999999999999E-2</v>
      </c>
      <c r="E99">
        <v>9.393E-2</v>
      </c>
      <c r="F99">
        <v>0.1217</v>
      </c>
      <c r="H99">
        <v>102</v>
      </c>
      <c r="I99">
        <v>1.7099999999999999E-3</v>
      </c>
      <c r="J99">
        <v>0.14380000000000001</v>
      </c>
      <c r="K99">
        <v>1.1860000000000001E-2</v>
      </c>
    </row>
    <row r="100" spans="3:11">
      <c r="C100">
        <v>176</v>
      </c>
      <c r="D100">
        <v>4.3E-3</v>
      </c>
      <c r="E100">
        <v>0.14557</v>
      </c>
      <c r="F100">
        <v>2.9510000000000002E-2</v>
      </c>
      <c r="H100">
        <v>103</v>
      </c>
      <c r="I100">
        <v>1.0160000000000001E-2</v>
      </c>
      <c r="J100">
        <v>0.11561</v>
      </c>
      <c r="K100">
        <v>8.7929999999999994E-2</v>
      </c>
    </row>
    <row r="101" spans="3:11">
      <c r="C101">
        <v>184</v>
      </c>
      <c r="D101">
        <v>4.7099999999999998E-3</v>
      </c>
      <c r="E101">
        <v>0.13908000000000001</v>
      </c>
      <c r="F101">
        <v>3.3840000000000002E-2</v>
      </c>
      <c r="H101">
        <v>104</v>
      </c>
      <c r="I101">
        <v>0</v>
      </c>
      <c r="J101">
        <v>9.7199999999999995E-2</v>
      </c>
      <c r="K101">
        <v>0</v>
      </c>
    </row>
    <row r="102" spans="3:11">
      <c r="C102">
        <v>185</v>
      </c>
      <c r="D102">
        <v>7.0000000000000001E-3</v>
      </c>
      <c r="E102">
        <v>9.1310000000000002E-2</v>
      </c>
      <c r="F102">
        <v>7.671E-2</v>
      </c>
      <c r="H102">
        <v>104</v>
      </c>
      <c r="I102">
        <v>2.0899999999999998E-3</v>
      </c>
      <c r="J102">
        <v>0.11</v>
      </c>
      <c r="K102">
        <v>1.9009999999999999E-2</v>
      </c>
    </row>
    <row r="103" spans="3:11">
      <c r="C103">
        <v>185</v>
      </c>
      <c r="D103">
        <v>8.6199999999999992E-3</v>
      </c>
      <c r="E103">
        <v>0.12328</v>
      </c>
      <c r="F103">
        <v>6.9940000000000002E-2</v>
      </c>
      <c r="H103">
        <v>105</v>
      </c>
      <c r="I103">
        <v>3.4499999999999999E-3</v>
      </c>
      <c r="J103">
        <v>8.6099999999999996E-2</v>
      </c>
      <c r="K103">
        <v>4.0090000000000001E-2</v>
      </c>
    </row>
    <row r="104" spans="3:11">
      <c r="C104">
        <v>187</v>
      </c>
      <c r="D104">
        <v>7.4000000000000003E-3</v>
      </c>
      <c r="E104">
        <v>7.4569999999999997E-2</v>
      </c>
      <c r="F104">
        <v>9.9260000000000001E-2</v>
      </c>
      <c r="H104">
        <v>105</v>
      </c>
      <c r="I104">
        <v>2.0899999999999998E-3</v>
      </c>
      <c r="J104">
        <v>0.14177000000000001</v>
      </c>
      <c r="K104">
        <v>1.472E-2</v>
      </c>
    </row>
    <row r="105" spans="3:11">
      <c r="C105">
        <v>190</v>
      </c>
      <c r="D105">
        <v>2.069E-2</v>
      </c>
      <c r="E105">
        <v>8.2799999999999999E-2</v>
      </c>
      <c r="F105">
        <v>0.24989</v>
      </c>
      <c r="H105">
        <v>106</v>
      </c>
      <c r="I105">
        <v>1.8460000000000001E-2</v>
      </c>
      <c r="J105">
        <v>0.10184</v>
      </c>
      <c r="K105">
        <v>0.18124000000000001</v>
      </c>
    </row>
    <row r="106" spans="3:11">
      <c r="C106">
        <v>193</v>
      </c>
      <c r="D106">
        <v>4.6299999999999996E-3</v>
      </c>
      <c r="E106">
        <v>0.1061</v>
      </c>
      <c r="F106">
        <v>4.367E-2</v>
      </c>
      <c r="H106">
        <v>107</v>
      </c>
      <c r="I106">
        <v>0</v>
      </c>
      <c r="J106">
        <v>9.9210000000000007E-2</v>
      </c>
      <c r="K106">
        <v>0</v>
      </c>
    </row>
    <row r="107" spans="3:11">
      <c r="C107">
        <v>200</v>
      </c>
      <c r="D107">
        <v>1.32E-3</v>
      </c>
      <c r="E107">
        <v>2.3730000000000001E-2</v>
      </c>
      <c r="F107">
        <v>5.5750000000000001E-2</v>
      </c>
      <c r="H107">
        <v>107</v>
      </c>
      <c r="I107">
        <v>5.8900000000000003E-3</v>
      </c>
      <c r="J107">
        <v>0.12037</v>
      </c>
      <c r="K107">
        <v>4.895E-2</v>
      </c>
    </row>
    <row r="108" spans="3:11">
      <c r="C108">
        <v>202</v>
      </c>
      <c r="D108">
        <v>8.6E-3</v>
      </c>
      <c r="E108">
        <v>0.12673999999999999</v>
      </c>
      <c r="F108">
        <v>6.7890000000000006E-2</v>
      </c>
      <c r="H108">
        <v>108</v>
      </c>
      <c r="I108">
        <v>1.2529999999999999E-2</v>
      </c>
      <c r="J108">
        <v>0.1196</v>
      </c>
      <c r="K108">
        <v>0.10477</v>
      </c>
    </row>
    <row r="109" spans="3:11">
      <c r="C109">
        <v>203</v>
      </c>
      <c r="D109">
        <v>2.0699999999999998E-3</v>
      </c>
      <c r="E109">
        <v>0.10102999999999999</v>
      </c>
      <c r="F109">
        <v>2.0480000000000002E-2</v>
      </c>
      <c r="H109">
        <v>109</v>
      </c>
      <c r="I109">
        <v>2.3900000000000002E-3</v>
      </c>
      <c r="J109">
        <v>0.12463</v>
      </c>
      <c r="K109">
        <v>1.9140000000000001E-2</v>
      </c>
    </row>
    <row r="110" spans="3:11">
      <c r="C110">
        <v>205</v>
      </c>
      <c r="D110">
        <v>8.1799999999999998E-3</v>
      </c>
      <c r="E110">
        <v>0.12274</v>
      </c>
      <c r="F110">
        <v>6.6650000000000001E-2</v>
      </c>
      <c r="H110">
        <v>110</v>
      </c>
      <c r="I110">
        <v>1.9300000000000001E-3</v>
      </c>
      <c r="J110">
        <v>3.1530000000000002E-2</v>
      </c>
      <c r="K110">
        <v>6.1240000000000003E-2</v>
      </c>
    </row>
    <row r="111" spans="3:11">
      <c r="C111">
        <v>205</v>
      </c>
      <c r="D111">
        <v>8.4999999999999995E-4</v>
      </c>
      <c r="E111">
        <v>0.13048999999999999</v>
      </c>
      <c r="F111">
        <v>6.4900000000000001E-3</v>
      </c>
      <c r="H111">
        <v>110</v>
      </c>
      <c r="I111">
        <v>7.6699999999999997E-3</v>
      </c>
      <c r="J111">
        <v>0.14682999999999999</v>
      </c>
      <c r="K111">
        <v>5.2220000000000003E-2</v>
      </c>
    </row>
    <row r="112" spans="3:11">
      <c r="C112">
        <v>205</v>
      </c>
      <c r="D112">
        <v>0</v>
      </c>
      <c r="E112">
        <v>0.14574000000000001</v>
      </c>
      <c r="F112">
        <v>0</v>
      </c>
      <c r="H112">
        <v>111</v>
      </c>
      <c r="I112">
        <v>4.64E-3</v>
      </c>
      <c r="J112">
        <v>0.11994</v>
      </c>
      <c r="K112">
        <v>3.8699999999999998E-2</v>
      </c>
    </row>
    <row r="113" spans="3:11">
      <c r="C113">
        <v>206</v>
      </c>
      <c r="D113">
        <v>5.0000000000000001E-3</v>
      </c>
      <c r="E113">
        <v>8.5860000000000006E-2</v>
      </c>
      <c r="F113">
        <v>5.8250000000000003E-2</v>
      </c>
      <c r="H113">
        <v>111</v>
      </c>
      <c r="I113">
        <v>5.2900000000000004E-3</v>
      </c>
      <c r="J113">
        <v>0.11230999999999999</v>
      </c>
      <c r="K113">
        <v>4.7109999999999999E-2</v>
      </c>
    </row>
    <row r="114" spans="3:11">
      <c r="C114">
        <v>209</v>
      </c>
      <c r="D114">
        <v>2.4299999999999999E-3</v>
      </c>
      <c r="E114">
        <v>0.10826</v>
      </c>
      <c r="F114">
        <v>2.2450000000000001E-2</v>
      </c>
      <c r="H114">
        <v>112</v>
      </c>
      <c r="I114">
        <v>3.8300000000000001E-3</v>
      </c>
      <c r="J114">
        <v>0.10965999999999999</v>
      </c>
      <c r="K114">
        <v>3.4880000000000001E-2</v>
      </c>
    </row>
    <row r="115" spans="3:11">
      <c r="C115">
        <v>210</v>
      </c>
      <c r="D115">
        <v>8.2199999999999999E-3</v>
      </c>
      <c r="E115">
        <v>0.11975</v>
      </c>
      <c r="F115">
        <v>6.8669999999999995E-2</v>
      </c>
      <c r="H115">
        <v>112</v>
      </c>
      <c r="I115">
        <v>5.8799999999999998E-3</v>
      </c>
      <c r="J115">
        <v>7.8049999999999994E-2</v>
      </c>
      <c r="K115">
        <v>7.5289999999999996E-2</v>
      </c>
    </row>
    <row r="116" spans="3:11">
      <c r="C116">
        <v>213</v>
      </c>
      <c r="D116">
        <v>2.3900000000000002E-3</v>
      </c>
      <c r="E116">
        <v>9.6140000000000003E-2</v>
      </c>
      <c r="F116">
        <v>2.4809999999999999E-2</v>
      </c>
      <c r="H116">
        <v>113</v>
      </c>
      <c r="I116">
        <v>8.2900000000000005E-3</v>
      </c>
      <c r="J116">
        <v>6.8159999999999998E-2</v>
      </c>
      <c r="K116">
        <v>0.12157999999999999</v>
      </c>
    </row>
    <row r="117" spans="3:11">
      <c r="C117">
        <v>214</v>
      </c>
      <c r="D117">
        <v>1.0449999999999999E-2</v>
      </c>
      <c r="E117">
        <v>0.12486</v>
      </c>
      <c r="F117">
        <v>8.3690000000000001E-2</v>
      </c>
      <c r="H117">
        <v>113</v>
      </c>
      <c r="I117">
        <v>7.8300000000000002E-3</v>
      </c>
      <c r="J117">
        <v>0.12057</v>
      </c>
      <c r="K117">
        <v>6.4949999999999994E-2</v>
      </c>
    </row>
    <row r="118" spans="3:11">
      <c r="C118">
        <v>215</v>
      </c>
      <c r="D118">
        <v>8.4200000000000004E-3</v>
      </c>
      <c r="E118">
        <v>8.3570000000000005E-2</v>
      </c>
      <c r="F118">
        <v>0.10077</v>
      </c>
      <c r="H118">
        <v>114</v>
      </c>
      <c r="I118">
        <v>1.051E-2</v>
      </c>
      <c r="J118">
        <v>9.5810000000000006E-2</v>
      </c>
      <c r="K118">
        <v>0.10975</v>
      </c>
    </row>
    <row r="119" spans="3:11">
      <c r="C119">
        <v>217</v>
      </c>
      <c r="D119">
        <v>5.8999999999999999E-3</v>
      </c>
      <c r="E119">
        <v>0.12801999999999999</v>
      </c>
      <c r="F119">
        <v>4.6120000000000001E-2</v>
      </c>
      <c r="H119">
        <v>114</v>
      </c>
      <c r="I119">
        <v>0</v>
      </c>
      <c r="J119">
        <v>0.11525000000000001</v>
      </c>
      <c r="K119">
        <v>0</v>
      </c>
    </row>
    <row r="120" spans="3:11">
      <c r="C120">
        <v>225</v>
      </c>
      <c r="D120">
        <v>1.1010000000000001E-2</v>
      </c>
      <c r="E120">
        <v>7.0220000000000005E-2</v>
      </c>
      <c r="F120">
        <v>0.15673999999999999</v>
      </c>
      <c r="H120">
        <v>114</v>
      </c>
      <c r="I120">
        <v>7.5700000000000003E-3</v>
      </c>
      <c r="J120">
        <v>7.1410000000000001E-2</v>
      </c>
      <c r="K120">
        <v>0.10598</v>
      </c>
    </row>
    <row r="121" spans="3:11">
      <c r="C121">
        <v>225</v>
      </c>
      <c r="D121">
        <v>5.2700000000000004E-3</v>
      </c>
      <c r="E121">
        <v>0.12297</v>
      </c>
      <c r="F121">
        <v>4.2869999999999998E-2</v>
      </c>
      <c r="H121">
        <v>114</v>
      </c>
      <c r="I121">
        <v>5.6800000000000002E-3</v>
      </c>
      <c r="J121">
        <v>0.11181000000000001</v>
      </c>
      <c r="K121">
        <v>5.0790000000000002E-2</v>
      </c>
    </row>
    <row r="122" spans="3:11">
      <c r="C122">
        <v>225</v>
      </c>
      <c r="D122">
        <v>2.9199999999999999E-3</v>
      </c>
      <c r="E122">
        <v>0.10154000000000001</v>
      </c>
      <c r="F122">
        <v>2.8740000000000002E-2</v>
      </c>
      <c r="H122">
        <v>115</v>
      </c>
      <c r="I122">
        <v>8.9700000000000005E-3</v>
      </c>
      <c r="J122">
        <v>6.4320000000000002E-2</v>
      </c>
      <c r="K122">
        <v>0.13944999999999999</v>
      </c>
    </row>
    <row r="123" spans="3:11">
      <c r="C123">
        <v>229</v>
      </c>
      <c r="D123">
        <v>6.6100000000000004E-3</v>
      </c>
      <c r="E123">
        <v>0.10959000000000001</v>
      </c>
      <c r="F123">
        <v>6.0290000000000003E-2</v>
      </c>
      <c r="H123">
        <v>116</v>
      </c>
      <c r="I123">
        <v>7.5900000000000004E-3</v>
      </c>
      <c r="J123">
        <v>0.12193</v>
      </c>
      <c r="K123">
        <v>6.2260000000000003E-2</v>
      </c>
    </row>
    <row r="124" spans="3:11">
      <c r="C124">
        <v>233</v>
      </c>
      <c r="D124">
        <v>9.6699999999999998E-3</v>
      </c>
      <c r="E124">
        <v>9.9970000000000003E-2</v>
      </c>
      <c r="F124">
        <v>9.6710000000000004E-2</v>
      </c>
      <c r="H124">
        <v>116</v>
      </c>
      <c r="I124">
        <v>3.6900000000000001E-3</v>
      </c>
      <c r="J124">
        <v>0.11422</v>
      </c>
      <c r="K124">
        <v>3.227E-2</v>
      </c>
    </row>
    <row r="125" spans="3:11">
      <c r="C125">
        <v>234</v>
      </c>
      <c r="D125">
        <v>3.82E-3</v>
      </c>
      <c r="E125">
        <v>5.5140000000000002E-2</v>
      </c>
      <c r="F125">
        <v>6.9269999999999998E-2</v>
      </c>
      <c r="H125">
        <v>117</v>
      </c>
      <c r="I125">
        <v>1.4499999999999999E-3</v>
      </c>
      <c r="J125">
        <v>0.11996</v>
      </c>
      <c r="K125">
        <v>1.205E-2</v>
      </c>
    </row>
    <row r="126" spans="3:11">
      <c r="C126">
        <v>247</v>
      </c>
      <c r="D126">
        <v>6.3200000000000001E-3</v>
      </c>
      <c r="E126">
        <v>0.14565</v>
      </c>
      <c r="F126">
        <v>4.3389999999999998E-2</v>
      </c>
      <c r="H126">
        <v>117</v>
      </c>
      <c r="I126">
        <v>4.3200000000000001E-3</v>
      </c>
      <c r="J126">
        <v>7.9939999999999997E-2</v>
      </c>
      <c r="K126">
        <v>5.4010000000000002E-2</v>
      </c>
    </row>
    <row r="127" spans="3:11">
      <c r="C127">
        <v>249</v>
      </c>
      <c r="D127">
        <v>1.0399999999999999E-3</v>
      </c>
      <c r="E127">
        <v>0.1709</v>
      </c>
      <c r="F127">
        <v>6.1000000000000004E-3</v>
      </c>
      <c r="H127">
        <v>117</v>
      </c>
      <c r="I127">
        <v>2.47E-3</v>
      </c>
      <c r="J127">
        <v>0.14629</v>
      </c>
      <c r="K127">
        <v>1.6889999999999999E-2</v>
      </c>
    </row>
    <row r="128" spans="3:11">
      <c r="C128">
        <v>251</v>
      </c>
      <c r="D128">
        <v>2.5899999999999999E-3</v>
      </c>
      <c r="E128">
        <v>0.12589</v>
      </c>
      <c r="F128">
        <v>2.0539999999999999E-2</v>
      </c>
      <c r="H128">
        <v>118</v>
      </c>
      <c r="I128">
        <v>9.92E-3</v>
      </c>
      <c r="J128">
        <v>8.4290000000000004E-2</v>
      </c>
      <c r="K128">
        <v>0.11767</v>
      </c>
    </row>
    <row r="129" spans="3:11">
      <c r="C129">
        <v>252</v>
      </c>
      <c r="D129">
        <v>9.5200000000000007E-3</v>
      </c>
      <c r="E129">
        <v>0.11421000000000001</v>
      </c>
      <c r="F129">
        <v>8.3320000000000005E-2</v>
      </c>
      <c r="H129">
        <v>118</v>
      </c>
      <c r="I129">
        <v>0</v>
      </c>
      <c r="J129">
        <v>0.15190000000000001</v>
      </c>
      <c r="K129">
        <v>0</v>
      </c>
    </row>
    <row r="130" spans="3:11">
      <c r="C130">
        <v>254</v>
      </c>
      <c r="D130">
        <v>1.7600000000000001E-3</v>
      </c>
      <c r="E130">
        <v>0.12955</v>
      </c>
      <c r="F130">
        <v>1.359E-2</v>
      </c>
      <c r="H130">
        <v>119</v>
      </c>
      <c r="I130">
        <v>0</v>
      </c>
      <c r="J130">
        <v>2.8670000000000001E-2</v>
      </c>
      <c r="K130">
        <v>0</v>
      </c>
    </row>
    <row r="131" spans="3:11">
      <c r="C131">
        <v>261</v>
      </c>
      <c r="D131">
        <v>4.5500000000000002E-3</v>
      </c>
      <c r="E131">
        <v>0.14849000000000001</v>
      </c>
      <c r="F131">
        <v>3.0669999999999999E-2</v>
      </c>
      <c r="H131">
        <v>120</v>
      </c>
      <c r="I131">
        <v>0</v>
      </c>
      <c r="J131">
        <v>2.5669999999999998E-2</v>
      </c>
      <c r="K131">
        <v>0</v>
      </c>
    </row>
    <row r="132" spans="3:11">
      <c r="C132">
        <v>266</v>
      </c>
      <c r="D132">
        <v>8.1999999999999998E-4</v>
      </c>
      <c r="E132">
        <v>0.13721</v>
      </c>
      <c r="F132">
        <v>5.9500000000000004E-3</v>
      </c>
      <c r="H132">
        <v>120</v>
      </c>
      <c r="I132">
        <v>1.234E-2</v>
      </c>
      <c r="J132">
        <v>0.14560999999999999</v>
      </c>
      <c r="K132">
        <v>8.4779999999999994E-2</v>
      </c>
    </row>
    <row r="133" spans="3:11">
      <c r="C133">
        <v>270</v>
      </c>
      <c r="D133">
        <v>2.4099999999999998E-3</v>
      </c>
      <c r="E133">
        <v>0.12883</v>
      </c>
      <c r="F133">
        <v>1.8700000000000001E-2</v>
      </c>
      <c r="H133">
        <v>120</v>
      </c>
      <c r="I133">
        <v>4.8700000000000002E-3</v>
      </c>
      <c r="J133">
        <v>8.4320000000000006E-2</v>
      </c>
      <c r="K133">
        <v>5.7750000000000003E-2</v>
      </c>
    </row>
    <row r="134" spans="3:11">
      <c r="C134">
        <v>271</v>
      </c>
      <c r="D134">
        <v>3.5000000000000001E-3</v>
      </c>
      <c r="E134">
        <v>0.17760000000000001</v>
      </c>
      <c r="F134">
        <v>1.968E-2</v>
      </c>
      <c r="H134">
        <v>120</v>
      </c>
      <c r="I134">
        <v>5.4400000000000004E-3</v>
      </c>
      <c r="J134">
        <v>0.12077</v>
      </c>
      <c r="K134">
        <v>4.505E-2</v>
      </c>
    </row>
    <row r="135" spans="3:11">
      <c r="C135">
        <v>273</v>
      </c>
      <c r="D135">
        <v>5.5500000000000002E-3</v>
      </c>
      <c r="E135">
        <v>0.14943000000000001</v>
      </c>
      <c r="F135">
        <v>3.7139999999999999E-2</v>
      </c>
      <c r="H135">
        <v>121</v>
      </c>
      <c r="I135">
        <v>3.6600000000000001E-3</v>
      </c>
      <c r="J135">
        <v>8.1490000000000007E-2</v>
      </c>
      <c r="K135">
        <v>4.4970000000000003E-2</v>
      </c>
    </row>
    <row r="136" spans="3:11">
      <c r="C136">
        <v>280</v>
      </c>
      <c r="D136">
        <v>8.1899999999999994E-3</v>
      </c>
      <c r="E136">
        <v>0.16009999999999999</v>
      </c>
      <c r="F136">
        <v>5.1180000000000003E-2</v>
      </c>
      <c r="H136">
        <v>121</v>
      </c>
      <c r="I136">
        <v>5.6800000000000002E-3</v>
      </c>
      <c r="J136">
        <v>5.0909999999999997E-2</v>
      </c>
      <c r="K136">
        <v>0.1116</v>
      </c>
    </row>
    <row r="137" spans="3:11">
      <c r="C137">
        <v>285</v>
      </c>
      <c r="D137">
        <v>8.2100000000000003E-3</v>
      </c>
      <c r="E137">
        <v>0.16202</v>
      </c>
      <c r="F137">
        <v>5.0689999999999999E-2</v>
      </c>
      <c r="H137">
        <v>122</v>
      </c>
      <c r="I137">
        <v>1.566E-2</v>
      </c>
      <c r="J137">
        <v>9.0480000000000005E-2</v>
      </c>
      <c r="K137">
        <v>0.17311000000000001</v>
      </c>
    </row>
    <row r="138" spans="3:11">
      <c r="C138">
        <v>286</v>
      </c>
      <c r="D138">
        <v>1.166E-2</v>
      </c>
      <c r="E138">
        <v>0.12773999999999999</v>
      </c>
      <c r="F138">
        <v>9.128E-2</v>
      </c>
      <c r="H138">
        <v>123</v>
      </c>
      <c r="I138">
        <v>0</v>
      </c>
      <c r="J138">
        <v>3.4939999999999999E-2</v>
      </c>
      <c r="K138">
        <v>0</v>
      </c>
    </row>
    <row r="139" spans="3:11">
      <c r="C139">
        <v>290</v>
      </c>
      <c r="D139">
        <v>1.9720000000000001E-2</v>
      </c>
      <c r="E139">
        <v>0.10437</v>
      </c>
      <c r="F139">
        <v>0.18897</v>
      </c>
      <c r="H139">
        <v>123</v>
      </c>
      <c r="I139">
        <v>7.0299999999999998E-3</v>
      </c>
      <c r="J139">
        <v>0.15076000000000001</v>
      </c>
      <c r="K139">
        <v>4.666E-2</v>
      </c>
    </row>
    <row r="140" spans="3:11">
      <c r="C140">
        <v>291</v>
      </c>
      <c r="D140">
        <v>8.5800000000000008E-3</v>
      </c>
      <c r="E140">
        <v>0.10303</v>
      </c>
      <c r="F140">
        <v>8.3309999999999995E-2</v>
      </c>
      <c r="H140">
        <v>123</v>
      </c>
      <c r="I140">
        <v>2.1199999999999999E-3</v>
      </c>
      <c r="J140">
        <v>9.0329999999999994E-2</v>
      </c>
      <c r="K140">
        <v>2.3449999999999999E-2</v>
      </c>
    </row>
    <row r="141" spans="3:11">
      <c r="C141">
        <v>292</v>
      </c>
      <c r="D141">
        <v>9.3600000000000003E-3</v>
      </c>
      <c r="E141">
        <v>0.13291</v>
      </c>
      <c r="F141">
        <v>7.0449999999999999E-2</v>
      </c>
      <c r="H141">
        <v>124</v>
      </c>
      <c r="I141">
        <v>1.9720000000000001E-2</v>
      </c>
      <c r="J141">
        <v>0.12554000000000001</v>
      </c>
      <c r="K141">
        <v>0.15705</v>
      </c>
    </row>
    <row r="142" spans="3:11">
      <c r="C142">
        <v>297</v>
      </c>
      <c r="D142">
        <v>8.1099999999999992E-3</v>
      </c>
      <c r="E142">
        <v>0.10371</v>
      </c>
      <c r="F142">
        <v>7.8159999999999993E-2</v>
      </c>
      <c r="H142">
        <v>124</v>
      </c>
      <c r="I142">
        <v>0</v>
      </c>
      <c r="J142">
        <v>7.2709999999999997E-2</v>
      </c>
      <c r="K142">
        <v>0</v>
      </c>
    </row>
    <row r="143" spans="3:11">
      <c r="C143">
        <v>301</v>
      </c>
      <c r="D143">
        <v>8.5199999999999998E-3</v>
      </c>
      <c r="E143">
        <v>9.085E-2</v>
      </c>
      <c r="F143">
        <v>9.375E-2</v>
      </c>
      <c r="H143">
        <v>124</v>
      </c>
      <c r="I143">
        <v>0</v>
      </c>
      <c r="J143">
        <v>0.12253</v>
      </c>
      <c r="K143">
        <v>0</v>
      </c>
    </row>
    <row r="144" spans="3:11">
      <c r="C144">
        <v>309</v>
      </c>
      <c r="D144">
        <v>2.0999999999999999E-3</v>
      </c>
      <c r="E144">
        <v>0.12970999999999999</v>
      </c>
      <c r="F144">
        <v>1.618E-2</v>
      </c>
      <c r="H144">
        <v>124</v>
      </c>
      <c r="I144">
        <v>9.3500000000000007E-3</v>
      </c>
      <c r="J144">
        <v>0.11778</v>
      </c>
      <c r="K144">
        <v>7.9399999999999998E-2</v>
      </c>
    </row>
    <row r="145" spans="3:11">
      <c r="C145">
        <v>310</v>
      </c>
      <c r="D145">
        <v>2.7799999999999999E-3</v>
      </c>
      <c r="E145">
        <v>0.12945000000000001</v>
      </c>
      <c r="F145">
        <v>2.1489999999999999E-2</v>
      </c>
      <c r="H145">
        <v>125</v>
      </c>
      <c r="I145">
        <v>3.47E-3</v>
      </c>
      <c r="J145">
        <v>0.15805</v>
      </c>
      <c r="K145">
        <v>2.197E-2</v>
      </c>
    </row>
    <row r="146" spans="3:11">
      <c r="C146">
        <v>315</v>
      </c>
      <c r="D146">
        <v>8.8599999999999998E-3</v>
      </c>
      <c r="E146">
        <v>9.7439999999999999E-2</v>
      </c>
      <c r="F146">
        <v>9.0929999999999997E-2</v>
      </c>
      <c r="H146">
        <v>125</v>
      </c>
      <c r="I146">
        <v>3.4099999999999998E-3</v>
      </c>
      <c r="J146">
        <v>9.3759999999999996E-2</v>
      </c>
      <c r="K146">
        <v>3.637E-2</v>
      </c>
    </row>
    <row r="147" spans="3:11">
      <c r="C147">
        <v>317</v>
      </c>
      <c r="D147">
        <v>4.7299999999999998E-3</v>
      </c>
      <c r="E147">
        <v>0.11282</v>
      </c>
      <c r="F147">
        <v>4.1939999999999998E-2</v>
      </c>
      <c r="H147">
        <v>126</v>
      </c>
      <c r="I147">
        <v>8.7500000000000008E-3</v>
      </c>
      <c r="J147">
        <v>0.15134</v>
      </c>
      <c r="K147">
        <v>5.781E-2</v>
      </c>
    </row>
    <row r="148" spans="3:11">
      <c r="C148">
        <v>321</v>
      </c>
      <c r="D148">
        <v>6.0200000000000002E-3</v>
      </c>
      <c r="E148">
        <v>0.10219</v>
      </c>
      <c r="F148">
        <v>5.8889999999999998E-2</v>
      </c>
      <c r="H148">
        <v>126</v>
      </c>
      <c r="I148">
        <v>0</v>
      </c>
      <c r="J148">
        <v>2.632E-2</v>
      </c>
      <c r="K148">
        <v>0</v>
      </c>
    </row>
    <row r="149" spans="3:11">
      <c r="C149">
        <v>326</v>
      </c>
      <c r="D149">
        <v>8.0300000000000007E-3</v>
      </c>
      <c r="E149">
        <v>0.11078</v>
      </c>
      <c r="F149">
        <v>7.2510000000000005E-2</v>
      </c>
      <c r="H149">
        <v>126</v>
      </c>
      <c r="I149">
        <v>6.8199999999999997E-3</v>
      </c>
      <c r="J149">
        <v>0.15476999999999999</v>
      </c>
      <c r="K149">
        <v>4.4060000000000002E-2</v>
      </c>
    </row>
    <row r="150" spans="3:11">
      <c r="C150">
        <v>326</v>
      </c>
      <c r="D150">
        <v>5.5700000000000003E-3</v>
      </c>
      <c r="E150">
        <v>0.14409</v>
      </c>
      <c r="F150">
        <v>3.8629999999999998E-2</v>
      </c>
      <c r="H150">
        <v>127</v>
      </c>
      <c r="I150">
        <v>0</v>
      </c>
      <c r="J150">
        <v>0.13963999999999999</v>
      </c>
      <c r="K150">
        <v>0</v>
      </c>
    </row>
    <row r="151" spans="3:11">
      <c r="C151">
        <v>327</v>
      </c>
      <c r="D151">
        <v>2.4199999999999998E-3</v>
      </c>
      <c r="E151">
        <v>0.13216</v>
      </c>
      <c r="F151">
        <v>1.8329999999999999E-2</v>
      </c>
      <c r="H151">
        <v>127</v>
      </c>
      <c r="I151">
        <v>0</v>
      </c>
      <c r="J151">
        <v>0.10359</v>
      </c>
      <c r="K151">
        <v>0</v>
      </c>
    </row>
    <row r="152" spans="3:11">
      <c r="C152">
        <v>332</v>
      </c>
      <c r="D152">
        <v>1.31E-3</v>
      </c>
      <c r="E152">
        <v>0.12770999999999999</v>
      </c>
      <c r="F152">
        <v>1.025E-2</v>
      </c>
      <c r="H152">
        <v>127</v>
      </c>
      <c r="I152">
        <v>3.4499999999999999E-3</v>
      </c>
      <c r="J152">
        <v>7.9079999999999998E-2</v>
      </c>
      <c r="K152">
        <v>4.3560000000000001E-2</v>
      </c>
    </row>
    <row r="153" spans="3:11">
      <c r="C153">
        <v>350</v>
      </c>
      <c r="D153">
        <v>1.193E-2</v>
      </c>
      <c r="E153">
        <v>0.13538</v>
      </c>
      <c r="F153">
        <v>8.8139999999999996E-2</v>
      </c>
      <c r="H153">
        <v>128</v>
      </c>
      <c r="I153">
        <v>7.7999999999999996E-3</v>
      </c>
      <c r="J153">
        <v>9.0120000000000006E-2</v>
      </c>
      <c r="K153">
        <v>8.6529999999999996E-2</v>
      </c>
    </row>
    <row r="154" spans="3:11">
      <c r="C154">
        <v>353</v>
      </c>
      <c r="D154">
        <v>2.6900000000000001E-3</v>
      </c>
      <c r="E154">
        <v>6.2530000000000002E-2</v>
      </c>
      <c r="F154">
        <v>4.3040000000000002E-2</v>
      </c>
      <c r="H154">
        <v>129</v>
      </c>
      <c r="I154">
        <v>1.2200000000000001E-2</v>
      </c>
      <c r="J154">
        <v>8.8279999999999997E-2</v>
      </c>
      <c r="K154">
        <v>0.13814000000000001</v>
      </c>
    </row>
    <row r="155" spans="3:11">
      <c r="C155">
        <v>355</v>
      </c>
      <c r="D155">
        <v>6.1599999999999997E-3</v>
      </c>
      <c r="E155">
        <v>0.10634</v>
      </c>
      <c r="F155">
        <v>5.7919999999999999E-2</v>
      </c>
      <c r="H155">
        <v>130</v>
      </c>
      <c r="I155">
        <v>4.1900000000000001E-3</v>
      </c>
      <c r="J155">
        <v>4.7379999999999999E-2</v>
      </c>
      <c r="K155">
        <v>8.838E-2</v>
      </c>
    </row>
    <row r="156" spans="3:11">
      <c r="C156">
        <v>363</v>
      </c>
      <c r="D156">
        <v>4.5700000000000003E-3</v>
      </c>
      <c r="E156">
        <v>0.11711000000000001</v>
      </c>
      <c r="F156">
        <v>3.9039999999999998E-2</v>
      </c>
      <c r="H156">
        <v>130</v>
      </c>
      <c r="I156">
        <v>5.96E-3</v>
      </c>
      <c r="J156">
        <v>4.9250000000000002E-2</v>
      </c>
      <c r="K156">
        <v>0.12099</v>
      </c>
    </row>
    <row r="157" spans="3:11">
      <c r="C157">
        <v>377</v>
      </c>
      <c r="D157">
        <v>3.49E-3</v>
      </c>
      <c r="E157">
        <v>0.15476000000000001</v>
      </c>
      <c r="F157">
        <v>2.257E-2</v>
      </c>
      <c r="H157">
        <v>130</v>
      </c>
      <c r="I157">
        <v>1.103E-2</v>
      </c>
      <c r="J157">
        <v>8.1059999999999993E-2</v>
      </c>
      <c r="K157">
        <v>0.1361</v>
      </c>
    </row>
    <row r="158" spans="3:11">
      <c r="C158">
        <v>378</v>
      </c>
      <c r="D158">
        <v>6.8500000000000002E-3</v>
      </c>
      <c r="E158">
        <v>0.16721</v>
      </c>
      <c r="F158">
        <v>4.0969999999999999E-2</v>
      </c>
      <c r="H158">
        <v>130</v>
      </c>
      <c r="I158">
        <v>2.63E-3</v>
      </c>
      <c r="J158">
        <v>2.3910000000000001E-2</v>
      </c>
      <c r="K158">
        <v>0.11012</v>
      </c>
    </row>
    <row r="159" spans="3:11">
      <c r="C159">
        <v>381</v>
      </c>
      <c r="D159">
        <v>9.4999999999999998E-3</v>
      </c>
      <c r="E159">
        <v>9.4539999999999999E-2</v>
      </c>
      <c r="F159">
        <v>0.10051</v>
      </c>
      <c r="H159">
        <v>131</v>
      </c>
      <c r="I159">
        <v>1.6289999999999999E-2</v>
      </c>
      <c r="J159">
        <v>4.3189999999999999E-2</v>
      </c>
      <c r="K159">
        <v>0.37728</v>
      </c>
    </row>
    <row r="160" spans="3:11">
      <c r="C160">
        <v>381</v>
      </c>
      <c r="D160">
        <v>7.5500000000000003E-3</v>
      </c>
      <c r="E160">
        <v>0.11487</v>
      </c>
      <c r="F160">
        <v>6.5750000000000003E-2</v>
      </c>
      <c r="H160">
        <v>131</v>
      </c>
      <c r="I160">
        <v>3.9399999999999999E-3</v>
      </c>
      <c r="J160">
        <v>7.0000000000000007E-2</v>
      </c>
      <c r="K160">
        <v>5.6340000000000001E-2</v>
      </c>
    </row>
    <row r="161" spans="3:11">
      <c r="C161">
        <v>388</v>
      </c>
      <c r="D161">
        <v>3.6900000000000001E-3</v>
      </c>
      <c r="E161">
        <v>0.11613</v>
      </c>
      <c r="F161">
        <v>3.1789999999999999E-2</v>
      </c>
      <c r="H161">
        <v>132</v>
      </c>
      <c r="I161">
        <v>1.32E-3</v>
      </c>
      <c r="J161">
        <v>1.9779999999999999E-2</v>
      </c>
      <c r="K161">
        <v>6.6739999999999994E-2</v>
      </c>
    </row>
    <row r="162" spans="3:11">
      <c r="C162">
        <v>392</v>
      </c>
      <c r="D162">
        <v>9.5499999999999995E-3</v>
      </c>
      <c r="E162">
        <v>9.9680000000000005E-2</v>
      </c>
      <c r="F162">
        <v>9.5780000000000004E-2</v>
      </c>
      <c r="H162">
        <v>132</v>
      </c>
      <c r="I162">
        <v>1.141E-2</v>
      </c>
      <c r="J162">
        <v>9.5449999999999993E-2</v>
      </c>
      <c r="K162">
        <v>0.11953999999999999</v>
      </c>
    </row>
    <row r="163" spans="3:11">
      <c r="C163">
        <v>392</v>
      </c>
      <c r="D163">
        <v>2.2699999999999999E-3</v>
      </c>
      <c r="E163">
        <v>8.5620000000000002E-2</v>
      </c>
      <c r="F163">
        <v>2.6530000000000001E-2</v>
      </c>
      <c r="H163">
        <v>132</v>
      </c>
      <c r="I163">
        <v>1.4630000000000001E-2</v>
      </c>
      <c r="J163">
        <v>0.11118</v>
      </c>
      <c r="K163">
        <v>0.13159000000000001</v>
      </c>
    </row>
    <row r="164" spans="3:11">
      <c r="C164">
        <v>395</v>
      </c>
      <c r="D164">
        <v>1.97E-3</v>
      </c>
      <c r="E164">
        <v>0.13097</v>
      </c>
      <c r="F164">
        <v>1.5010000000000001E-2</v>
      </c>
      <c r="H164">
        <v>132</v>
      </c>
      <c r="I164">
        <v>5.3600000000000002E-3</v>
      </c>
      <c r="J164">
        <v>7.3380000000000001E-2</v>
      </c>
      <c r="K164">
        <v>7.3099999999999998E-2</v>
      </c>
    </row>
    <row r="165" spans="3:11">
      <c r="C165">
        <v>397</v>
      </c>
      <c r="D165">
        <v>2.2000000000000001E-3</v>
      </c>
      <c r="E165">
        <v>0.13483999999999999</v>
      </c>
      <c r="F165">
        <v>1.634E-2</v>
      </c>
      <c r="H165">
        <v>132</v>
      </c>
      <c r="I165">
        <v>2.5699999999999998E-3</v>
      </c>
      <c r="J165">
        <v>9.3310000000000004E-2</v>
      </c>
      <c r="K165">
        <v>2.759E-2</v>
      </c>
    </row>
    <row r="166" spans="3:11">
      <c r="C166">
        <v>441</v>
      </c>
      <c r="D166">
        <v>1.542E-2</v>
      </c>
      <c r="E166">
        <v>7.7039999999999997E-2</v>
      </c>
      <c r="F166">
        <v>0.20018</v>
      </c>
      <c r="H166">
        <v>133</v>
      </c>
      <c r="I166">
        <v>0</v>
      </c>
      <c r="J166">
        <v>0.11219</v>
      </c>
      <c r="K166">
        <v>0</v>
      </c>
    </row>
    <row r="167" spans="3:11">
      <c r="C167">
        <v>444</v>
      </c>
      <c r="D167">
        <v>4.6299999999999996E-3</v>
      </c>
      <c r="E167">
        <v>0.13475000000000001</v>
      </c>
      <c r="F167">
        <v>3.4380000000000001E-2</v>
      </c>
      <c r="H167">
        <v>133</v>
      </c>
      <c r="I167">
        <v>5.9100000000000003E-3</v>
      </c>
      <c r="J167">
        <v>0.16175</v>
      </c>
      <c r="K167">
        <v>3.6560000000000002E-2</v>
      </c>
    </row>
    <row r="168" spans="3:11">
      <c r="C168">
        <v>473</v>
      </c>
      <c r="D168">
        <v>5.47E-3</v>
      </c>
      <c r="E168">
        <v>0.16034000000000001</v>
      </c>
      <c r="F168">
        <v>3.4130000000000001E-2</v>
      </c>
      <c r="H168">
        <v>134</v>
      </c>
      <c r="I168">
        <v>4.3299999999999996E-3</v>
      </c>
      <c r="J168">
        <v>0.11321000000000001</v>
      </c>
      <c r="K168">
        <v>3.8240000000000003E-2</v>
      </c>
    </row>
    <row r="169" spans="3:11">
      <c r="C169">
        <v>483</v>
      </c>
      <c r="D169">
        <v>2.8800000000000002E-3</v>
      </c>
      <c r="E169">
        <v>0.15486</v>
      </c>
      <c r="F169">
        <v>1.8589999999999999E-2</v>
      </c>
      <c r="H169">
        <v>134</v>
      </c>
      <c r="I169">
        <v>9.1500000000000001E-3</v>
      </c>
      <c r="J169">
        <v>0.10279000000000001</v>
      </c>
      <c r="K169">
        <v>8.9029999999999998E-2</v>
      </c>
    </row>
    <row r="170" spans="3:11">
      <c r="C170">
        <v>506</v>
      </c>
      <c r="D170">
        <v>4.3099999999999996E-3</v>
      </c>
      <c r="E170">
        <v>0.10954999999999999</v>
      </c>
      <c r="F170">
        <v>3.9320000000000001E-2</v>
      </c>
      <c r="H170">
        <v>135</v>
      </c>
      <c r="I170">
        <v>4.6899999999999997E-3</v>
      </c>
      <c r="J170">
        <v>6.6669999999999993E-2</v>
      </c>
      <c r="K170">
        <v>7.0349999999999996E-2</v>
      </c>
    </row>
    <row r="171" spans="3:11">
      <c r="C171">
        <v>509</v>
      </c>
      <c r="D171">
        <v>5.1999999999999998E-3</v>
      </c>
      <c r="E171">
        <v>0.14457999999999999</v>
      </c>
      <c r="F171">
        <v>3.5970000000000002E-2</v>
      </c>
      <c r="H171">
        <v>135</v>
      </c>
      <c r="I171">
        <v>3.1800000000000001E-3</v>
      </c>
      <c r="J171">
        <v>0.11385000000000001</v>
      </c>
      <c r="K171">
        <v>2.794E-2</v>
      </c>
    </row>
    <row r="172" spans="3:11">
      <c r="C172">
        <v>552</v>
      </c>
      <c r="D172">
        <v>4.2199999999999998E-3</v>
      </c>
      <c r="E172">
        <v>0.13238</v>
      </c>
      <c r="F172">
        <v>3.1879999999999999E-2</v>
      </c>
      <c r="H172">
        <v>136</v>
      </c>
      <c r="I172">
        <v>1.91E-3</v>
      </c>
      <c r="J172">
        <v>7.3550000000000004E-2</v>
      </c>
      <c r="K172">
        <v>2.5999999999999999E-2</v>
      </c>
    </row>
    <row r="173" spans="3:11">
      <c r="C173">
        <v>624</v>
      </c>
      <c r="D173">
        <v>5.5700000000000003E-3</v>
      </c>
      <c r="E173">
        <v>0.13341</v>
      </c>
      <c r="F173">
        <v>4.1739999999999999E-2</v>
      </c>
      <c r="H173">
        <v>137</v>
      </c>
      <c r="I173">
        <v>5.1399999999999996E-3</v>
      </c>
      <c r="J173">
        <v>0.10621999999999999</v>
      </c>
      <c r="K173">
        <v>4.8410000000000002E-2</v>
      </c>
    </row>
    <row r="174" spans="3:11">
      <c r="C174">
        <v>649</v>
      </c>
      <c r="D174">
        <v>7.1799999999999998E-3</v>
      </c>
      <c r="E174">
        <v>0.12203</v>
      </c>
      <c r="F174">
        <v>5.8840000000000003E-2</v>
      </c>
      <c r="H174">
        <v>138</v>
      </c>
      <c r="I174">
        <v>1.6199999999999999E-3</v>
      </c>
      <c r="J174">
        <v>2.964E-2</v>
      </c>
      <c r="K174">
        <v>5.4480000000000001E-2</v>
      </c>
    </row>
    <row r="175" spans="3:11">
      <c r="C175">
        <v>671</v>
      </c>
      <c r="D175">
        <v>6.5500000000000003E-3</v>
      </c>
      <c r="E175">
        <v>0.18790999999999999</v>
      </c>
      <c r="F175">
        <v>3.4869999999999998E-2</v>
      </c>
      <c r="H175">
        <v>138</v>
      </c>
      <c r="I175">
        <v>2.0899999999999998E-3</v>
      </c>
      <c r="J175">
        <v>7.0709999999999995E-2</v>
      </c>
      <c r="K175">
        <v>2.9590000000000002E-2</v>
      </c>
    </row>
    <row r="176" spans="3:11">
      <c r="C176">
        <v>805</v>
      </c>
      <c r="D176">
        <v>5.9699999999999996E-3</v>
      </c>
      <c r="E176">
        <v>0.14369999999999999</v>
      </c>
      <c r="F176">
        <v>4.1509999999999998E-2</v>
      </c>
      <c r="H176">
        <v>138</v>
      </c>
      <c r="I176">
        <v>0</v>
      </c>
      <c r="J176">
        <v>0.11951000000000001</v>
      </c>
      <c r="K176">
        <v>0</v>
      </c>
    </row>
    <row r="177" spans="8:11">
      <c r="H177">
        <v>140</v>
      </c>
      <c r="I177">
        <v>6.2199999999999998E-3</v>
      </c>
      <c r="J177">
        <v>0.14913999999999999</v>
      </c>
      <c r="K177">
        <v>4.1689999999999998E-2</v>
      </c>
    </row>
    <row r="178" spans="8:11">
      <c r="H178">
        <v>140</v>
      </c>
      <c r="I178">
        <v>5.0499999999999998E-3</v>
      </c>
      <c r="J178">
        <v>8.2559999999999995E-2</v>
      </c>
      <c r="K178">
        <v>6.1129999999999997E-2</v>
      </c>
    </row>
    <row r="179" spans="8:11">
      <c r="H179">
        <v>140</v>
      </c>
      <c r="I179">
        <v>3.0799999999999998E-3</v>
      </c>
      <c r="J179">
        <v>0.12819</v>
      </c>
      <c r="K179">
        <v>2.4039999999999999E-2</v>
      </c>
    </row>
    <row r="180" spans="8:11">
      <c r="H180">
        <v>140</v>
      </c>
      <c r="I180">
        <v>3.0799999999999998E-3</v>
      </c>
      <c r="J180">
        <v>0.12819</v>
      </c>
      <c r="K180">
        <v>2.4039999999999999E-2</v>
      </c>
    </row>
    <row r="181" spans="8:11">
      <c r="H181">
        <v>140</v>
      </c>
      <c r="I181">
        <v>4.7699999999999999E-3</v>
      </c>
      <c r="J181">
        <v>0.10017</v>
      </c>
      <c r="K181">
        <v>4.759E-2</v>
      </c>
    </row>
    <row r="182" spans="8:11">
      <c r="H182">
        <v>141</v>
      </c>
      <c r="I182">
        <v>0</v>
      </c>
      <c r="J182">
        <v>2.6669999999999999E-2</v>
      </c>
      <c r="K182">
        <v>0</v>
      </c>
    </row>
    <row r="183" spans="8:11">
      <c r="H183">
        <v>142</v>
      </c>
      <c r="I183">
        <v>9.1900000000000003E-3</v>
      </c>
      <c r="J183">
        <v>0.14967</v>
      </c>
      <c r="K183">
        <v>6.1429999999999998E-2</v>
      </c>
    </row>
    <row r="184" spans="8:11">
      <c r="H184">
        <v>142</v>
      </c>
      <c r="I184">
        <v>3.0100000000000001E-3</v>
      </c>
      <c r="J184">
        <v>5.8189999999999999E-2</v>
      </c>
      <c r="K184">
        <v>5.1720000000000002E-2</v>
      </c>
    </row>
    <row r="185" spans="8:11">
      <c r="H185">
        <v>143</v>
      </c>
      <c r="I185">
        <v>9.6900000000000007E-3</v>
      </c>
      <c r="J185">
        <v>0.10303</v>
      </c>
      <c r="K185">
        <v>9.4089999999999993E-2</v>
      </c>
    </row>
    <row r="186" spans="8:11">
      <c r="H186">
        <v>143</v>
      </c>
      <c r="I186">
        <v>0</v>
      </c>
      <c r="J186">
        <v>8.6230000000000001E-2</v>
      </c>
      <c r="K186">
        <v>0</v>
      </c>
    </row>
    <row r="187" spans="8:11">
      <c r="H187">
        <v>143</v>
      </c>
      <c r="I187">
        <v>0</v>
      </c>
      <c r="J187">
        <v>0.11258</v>
      </c>
      <c r="K187">
        <v>0</v>
      </c>
    </row>
    <row r="188" spans="8:11">
      <c r="H188">
        <v>143</v>
      </c>
      <c r="I188">
        <v>1.5200000000000001E-3</v>
      </c>
      <c r="J188">
        <v>0.14327999999999999</v>
      </c>
      <c r="K188">
        <v>1.057E-2</v>
      </c>
    </row>
    <row r="189" spans="8:11">
      <c r="H189">
        <v>143</v>
      </c>
      <c r="I189">
        <v>6.5500000000000003E-3</v>
      </c>
      <c r="J189">
        <v>0.15365999999999999</v>
      </c>
      <c r="K189">
        <v>4.2659999999999997E-2</v>
      </c>
    </row>
    <row r="190" spans="8:11">
      <c r="H190">
        <v>143</v>
      </c>
      <c r="I190">
        <v>9.1500000000000001E-3</v>
      </c>
      <c r="J190">
        <v>0.17605999999999999</v>
      </c>
      <c r="K190">
        <v>5.1979999999999998E-2</v>
      </c>
    </row>
    <row r="191" spans="8:11">
      <c r="H191">
        <v>144</v>
      </c>
      <c r="I191">
        <v>3.65E-3</v>
      </c>
      <c r="J191">
        <v>0.15543999999999999</v>
      </c>
      <c r="K191">
        <v>2.349E-2</v>
      </c>
    </row>
    <row r="192" spans="8:11">
      <c r="H192">
        <v>145</v>
      </c>
      <c r="I192">
        <v>0</v>
      </c>
      <c r="J192">
        <v>9.5089999999999994E-2</v>
      </c>
      <c r="K192">
        <v>0</v>
      </c>
    </row>
    <row r="193" spans="8:11">
      <c r="H193">
        <v>145</v>
      </c>
      <c r="I193">
        <v>2.3500000000000001E-3</v>
      </c>
      <c r="J193">
        <v>0.10068000000000001</v>
      </c>
      <c r="K193">
        <v>2.333E-2</v>
      </c>
    </row>
    <row r="194" spans="8:11">
      <c r="H194">
        <v>145</v>
      </c>
      <c r="I194">
        <v>3.5599999999999998E-3</v>
      </c>
      <c r="J194">
        <v>0.12509999999999999</v>
      </c>
      <c r="K194">
        <v>2.844E-2</v>
      </c>
    </row>
    <row r="195" spans="8:11">
      <c r="H195">
        <v>146</v>
      </c>
      <c r="I195">
        <v>0</v>
      </c>
      <c r="J195">
        <v>1.575E-2</v>
      </c>
      <c r="K195">
        <v>0</v>
      </c>
    </row>
    <row r="196" spans="8:11">
      <c r="H196">
        <v>146</v>
      </c>
      <c r="I196">
        <v>1.6E-2</v>
      </c>
      <c r="J196">
        <v>0.11283</v>
      </c>
      <c r="K196">
        <v>0.14179</v>
      </c>
    </row>
    <row r="197" spans="8:11">
      <c r="H197">
        <v>146</v>
      </c>
      <c r="I197">
        <v>2.9199999999999999E-3</v>
      </c>
      <c r="J197">
        <v>8.4229999999999999E-2</v>
      </c>
      <c r="K197">
        <v>3.4680000000000002E-2</v>
      </c>
    </row>
    <row r="198" spans="8:11">
      <c r="H198">
        <v>146</v>
      </c>
      <c r="I198">
        <v>5.1000000000000004E-3</v>
      </c>
      <c r="J198">
        <v>9.8960000000000006E-2</v>
      </c>
      <c r="K198">
        <v>5.1499999999999997E-2</v>
      </c>
    </row>
    <row r="199" spans="8:11">
      <c r="H199">
        <v>147</v>
      </c>
      <c r="I199">
        <v>1.1259999999999999E-2</v>
      </c>
      <c r="J199">
        <v>0.13150000000000001</v>
      </c>
      <c r="K199">
        <v>8.5610000000000006E-2</v>
      </c>
    </row>
    <row r="200" spans="8:11">
      <c r="H200">
        <v>147</v>
      </c>
      <c r="I200">
        <v>4.96E-3</v>
      </c>
      <c r="J200">
        <v>0.18554000000000001</v>
      </c>
      <c r="K200">
        <v>2.6710000000000001E-2</v>
      </c>
    </row>
    <row r="201" spans="8:11">
      <c r="H201">
        <v>147</v>
      </c>
      <c r="I201">
        <v>0</v>
      </c>
      <c r="J201">
        <v>0.15064</v>
      </c>
      <c r="K201">
        <v>0</v>
      </c>
    </row>
    <row r="202" spans="8:11">
      <c r="H202">
        <v>147</v>
      </c>
      <c r="I202">
        <v>0</v>
      </c>
      <c r="J202">
        <v>9.0020000000000003E-2</v>
      </c>
      <c r="K202">
        <v>0</v>
      </c>
    </row>
    <row r="203" spans="8:11">
      <c r="H203">
        <v>148</v>
      </c>
      <c r="I203">
        <v>2.9199999999999999E-3</v>
      </c>
      <c r="J203">
        <v>0.13488</v>
      </c>
      <c r="K203">
        <v>2.164E-2</v>
      </c>
    </row>
    <row r="204" spans="8:11">
      <c r="H204">
        <v>148</v>
      </c>
      <c r="I204">
        <v>8.5299999999999994E-3</v>
      </c>
      <c r="J204">
        <v>0.10909000000000001</v>
      </c>
      <c r="K204">
        <v>7.8219999999999998E-2</v>
      </c>
    </row>
    <row r="205" spans="8:11">
      <c r="H205">
        <v>148</v>
      </c>
      <c r="I205">
        <v>1.0120000000000001E-2</v>
      </c>
      <c r="J205">
        <v>0.13406000000000001</v>
      </c>
      <c r="K205">
        <v>7.5520000000000004E-2</v>
      </c>
    </row>
    <row r="206" spans="8:11">
      <c r="H206">
        <v>149</v>
      </c>
      <c r="I206">
        <v>3.2100000000000002E-3</v>
      </c>
      <c r="J206">
        <v>0.12192</v>
      </c>
      <c r="K206">
        <v>2.631E-2</v>
      </c>
    </row>
    <row r="207" spans="8:11">
      <c r="H207">
        <v>149</v>
      </c>
      <c r="I207">
        <v>0</v>
      </c>
      <c r="J207">
        <v>8.4330000000000002E-2</v>
      </c>
      <c r="K207">
        <v>0</v>
      </c>
    </row>
    <row r="208" spans="8:11">
      <c r="H208">
        <v>149</v>
      </c>
      <c r="I208">
        <v>5.2700000000000004E-3</v>
      </c>
      <c r="J208">
        <v>9.3560000000000004E-2</v>
      </c>
      <c r="K208">
        <v>5.629E-2</v>
      </c>
    </row>
    <row r="209" spans="8:11">
      <c r="H209">
        <v>149</v>
      </c>
      <c r="I209">
        <v>3.16E-3</v>
      </c>
      <c r="J209">
        <v>0.12826000000000001</v>
      </c>
      <c r="K209">
        <v>2.4670000000000001E-2</v>
      </c>
    </row>
    <row r="210" spans="8:11">
      <c r="H210">
        <v>149</v>
      </c>
      <c r="I210">
        <v>1.14E-3</v>
      </c>
      <c r="J210">
        <v>6.0420000000000001E-2</v>
      </c>
      <c r="K210">
        <v>1.8849999999999999E-2</v>
      </c>
    </row>
    <row r="211" spans="8:11">
      <c r="H211">
        <v>149</v>
      </c>
      <c r="I211">
        <v>1.2099999999999999E-3</v>
      </c>
      <c r="J211">
        <v>7.2190000000000004E-2</v>
      </c>
      <c r="K211">
        <v>1.67E-2</v>
      </c>
    </row>
    <row r="212" spans="8:11">
      <c r="H212">
        <v>149</v>
      </c>
      <c r="I212">
        <v>1.4499999999999999E-3</v>
      </c>
      <c r="J212">
        <v>0.13471</v>
      </c>
      <c r="K212">
        <v>1.073E-2</v>
      </c>
    </row>
    <row r="213" spans="8:11">
      <c r="H213">
        <v>150</v>
      </c>
      <c r="I213">
        <v>8.4899999999999993E-3</v>
      </c>
      <c r="J213">
        <v>0.14102000000000001</v>
      </c>
      <c r="K213">
        <v>6.019E-2</v>
      </c>
    </row>
    <row r="214" spans="8:11">
      <c r="H214">
        <v>150</v>
      </c>
      <c r="I214">
        <v>4.0200000000000001E-3</v>
      </c>
      <c r="J214">
        <v>0.14509</v>
      </c>
      <c r="K214">
        <v>2.7709999999999999E-2</v>
      </c>
    </row>
    <row r="215" spans="8:11">
      <c r="H215">
        <v>150</v>
      </c>
      <c r="I215">
        <v>1.772E-2</v>
      </c>
      <c r="J215">
        <v>6.7129999999999995E-2</v>
      </c>
      <c r="K215">
        <v>0.26401000000000002</v>
      </c>
    </row>
    <row r="216" spans="8:11">
      <c r="H216">
        <v>151</v>
      </c>
      <c r="I216">
        <v>8.6E-3</v>
      </c>
      <c r="J216">
        <v>0.10133</v>
      </c>
      <c r="K216">
        <v>8.4909999999999999E-2</v>
      </c>
    </row>
    <row r="217" spans="8:11">
      <c r="H217">
        <v>151</v>
      </c>
      <c r="I217">
        <v>1.39E-3</v>
      </c>
      <c r="J217">
        <v>0.15487000000000001</v>
      </c>
      <c r="K217">
        <v>8.9999999999999993E-3</v>
      </c>
    </row>
    <row r="218" spans="8:11">
      <c r="H218">
        <v>152</v>
      </c>
      <c r="I218">
        <v>0</v>
      </c>
      <c r="J218">
        <v>0.14418</v>
      </c>
      <c r="K218">
        <v>0</v>
      </c>
    </row>
    <row r="219" spans="8:11">
      <c r="H219">
        <v>154</v>
      </c>
      <c r="I219">
        <v>2.1900000000000001E-3</v>
      </c>
      <c r="J219">
        <v>5.663E-2</v>
      </c>
      <c r="K219">
        <v>3.8710000000000001E-2</v>
      </c>
    </row>
    <row r="220" spans="8:11">
      <c r="H220">
        <v>154</v>
      </c>
      <c r="I220">
        <v>2.2399999999999998E-3</v>
      </c>
      <c r="J220">
        <v>0.13081000000000001</v>
      </c>
      <c r="K220">
        <v>1.7139999999999999E-2</v>
      </c>
    </row>
    <row r="221" spans="8:11">
      <c r="H221">
        <v>154</v>
      </c>
      <c r="I221">
        <v>2.8400000000000001E-3</v>
      </c>
      <c r="J221">
        <v>0.12615000000000001</v>
      </c>
      <c r="K221">
        <v>2.2530000000000001E-2</v>
      </c>
    </row>
    <row r="222" spans="8:11">
      <c r="H222">
        <v>154</v>
      </c>
      <c r="I222">
        <v>0</v>
      </c>
      <c r="J222">
        <v>0.11341</v>
      </c>
      <c r="K222">
        <v>0</v>
      </c>
    </row>
    <row r="223" spans="8:11">
      <c r="H223">
        <v>156</v>
      </c>
      <c r="I223">
        <v>0</v>
      </c>
      <c r="J223">
        <v>5.6669999999999998E-2</v>
      </c>
      <c r="K223">
        <v>0</v>
      </c>
    </row>
    <row r="224" spans="8:11">
      <c r="H224">
        <v>156</v>
      </c>
      <c r="I224">
        <v>8.7899999999999992E-3</v>
      </c>
      <c r="J224">
        <v>0.11846</v>
      </c>
      <c r="K224">
        <v>7.4200000000000002E-2</v>
      </c>
    </row>
    <row r="225" spans="8:11">
      <c r="H225">
        <v>156</v>
      </c>
      <c r="I225">
        <v>6.8700000000000002E-3</v>
      </c>
      <c r="J225">
        <v>0.12801000000000001</v>
      </c>
      <c r="K225">
        <v>5.3670000000000002E-2</v>
      </c>
    </row>
    <row r="226" spans="8:11">
      <c r="H226">
        <v>156</v>
      </c>
      <c r="I226">
        <v>0</v>
      </c>
      <c r="J226">
        <v>9.3880000000000005E-2</v>
      </c>
      <c r="K226">
        <v>0</v>
      </c>
    </row>
    <row r="227" spans="8:11">
      <c r="H227">
        <v>157</v>
      </c>
      <c r="I227">
        <v>2.47E-3</v>
      </c>
      <c r="J227">
        <v>0.14241000000000001</v>
      </c>
      <c r="K227">
        <v>1.7319999999999999E-2</v>
      </c>
    </row>
    <row r="228" spans="8:11">
      <c r="H228">
        <v>157</v>
      </c>
      <c r="I228">
        <v>1.09E-3</v>
      </c>
      <c r="J228">
        <v>0.11047999999999999</v>
      </c>
      <c r="K228">
        <v>9.8700000000000003E-3</v>
      </c>
    </row>
    <row r="229" spans="8:11">
      <c r="H229">
        <v>158</v>
      </c>
      <c r="I229">
        <v>4.28E-3</v>
      </c>
      <c r="J229">
        <v>0.12273000000000001</v>
      </c>
      <c r="K229">
        <v>3.4889999999999997E-2</v>
      </c>
    </row>
    <row r="230" spans="8:11">
      <c r="H230">
        <v>159</v>
      </c>
      <c r="I230">
        <v>3.1900000000000001E-3</v>
      </c>
      <c r="J230">
        <v>0.13639999999999999</v>
      </c>
      <c r="K230">
        <v>2.3380000000000001E-2</v>
      </c>
    </row>
    <row r="231" spans="8:11">
      <c r="H231">
        <v>160</v>
      </c>
      <c r="I231">
        <v>4.8799999999999998E-3</v>
      </c>
      <c r="J231">
        <v>0.12386999999999999</v>
      </c>
      <c r="K231">
        <v>3.9419999999999997E-2</v>
      </c>
    </row>
    <row r="232" spans="8:11">
      <c r="H232">
        <v>161</v>
      </c>
      <c r="I232">
        <v>2.7000000000000001E-3</v>
      </c>
      <c r="J232">
        <v>0.1265</v>
      </c>
      <c r="K232">
        <v>2.1329999999999998E-2</v>
      </c>
    </row>
    <row r="233" spans="8:11">
      <c r="H233">
        <v>161</v>
      </c>
      <c r="I233">
        <v>9.4400000000000005E-3</v>
      </c>
      <c r="J233">
        <v>8.5260000000000002E-2</v>
      </c>
      <c r="K233">
        <v>0.11071</v>
      </c>
    </row>
    <row r="234" spans="8:11">
      <c r="H234">
        <v>161</v>
      </c>
      <c r="I234">
        <v>2.64E-3</v>
      </c>
      <c r="J234">
        <v>0.14938000000000001</v>
      </c>
      <c r="K234">
        <v>1.7680000000000001E-2</v>
      </c>
    </row>
    <row r="235" spans="8:11">
      <c r="H235">
        <v>162</v>
      </c>
      <c r="I235">
        <v>7.1300000000000001E-3</v>
      </c>
      <c r="J235">
        <v>0.10745</v>
      </c>
      <c r="K235">
        <v>6.6309999999999994E-2</v>
      </c>
    </row>
    <row r="236" spans="8:11">
      <c r="H236">
        <v>163</v>
      </c>
      <c r="I236">
        <v>7.3899999999999999E-3</v>
      </c>
      <c r="J236">
        <v>0.10983</v>
      </c>
      <c r="K236">
        <v>6.7299999999999999E-2</v>
      </c>
    </row>
    <row r="237" spans="8:11">
      <c r="H237">
        <v>164</v>
      </c>
      <c r="I237">
        <v>0</v>
      </c>
      <c r="J237">
        <v>0.16125999999999999</v>
      </c>
      <c r="K237">
        <v>0</v>
      </c>
    </row>
    <row r="238" spans="8:11">
      <c r="H238">
        <v>164</v>
      </c>
      <c r="I238">
        <v>7.8799999999999999E-3</v>
      </c>
      <c r="J238">
        <v>8.3510000000000001E-2</v>
      </c>
      <c r="K238">
        <v>9.4350000000000003E-2</v>
      </c>
    </row>
    <row r="239" spans="8:11">
      <c r="H239">
        <v>166</v>
      </c>
      <c r="I239">
        <v>4.8399999999999997E-3</v>
      </c>
      <c r="J239">
        <v>0.14419999999999999</v>
      </c>
      <c r="K239">
        <v>3.354E-2</v>
      </c>
    </row>
    <row r="240" spans="8:11">
      <c r="H240">
        <v>166</v>
      </c>
      <c r="I240">
        <v>4.8399999999999997E-3</v>
      </c>
      <c r="J240">
        <v>0.14419999999999999</v>
      </c>
      <c r="K240">
        <v>3.354E-2</v>
      </c>
    </row>
    <row r="241" spans="8:11">
      <c r="H241">
        <v>166</v>
      </c>
      <c r="I241">
        <v>1.56E-3</v>
      </c>
      <c r="J241">
        <v>0.12105</v>
      </c>
      <c r="K241">
        <v>1.291E-2</v>
      </c>
    </row>
    <row r="242" spans="8:11">
      <c r="H242">
        <v>166</v>
      </c>
      <c r="I242">
        <v>4.1000000000000003E-3</v>
      </c>
      <c r="J242">
        <v>9.9349999999999994E-2</v>
      </c>
      <c r="K242">
        <v>4.1309999999999999E-2</v>
      </c>
    </row>
    <row r="243" spans="8:11">
      <c r="H243">
        <v>167</v>
      </c>
      <c r="I243">
        <v>3.0699999999999998E-3</v>
      </c>
      <c r="J243">
        <v>9.1050000000000006E-2</v>
      </c>
      <c r="K243">
        <v>3.3759999999999998E-2</v>
      </c>
    </row>
    <row r="244" spans="8:11">
      <c r="H244">
        <v>167</v>
      </c>
      <c r="I244">
        <v>1.0499999999999999E-3</v>
      </c>
      <c r="J244">
        <v>9.2520000000000005E-2</v>
      </c>
      <c r="K244">
        <v>1.133E-2</v>
      </c>
    </row>
    <row r="245" spans="8:11">
      <c r="H245">
        <v>168</v>
      </c>
      <c r="I245">
        <v>7.8200000000000006E-3</v>
      </c>
      <c r="J245">
        <v>0.14960999999999999</v>
      </c>
      <c r="K245">
        <v>5.2249999999999998E-2</v>
      </c>
    </row>
    <row r="246" spans="8:11">
      <c r="H246">
        <v>169</v>
      </c>
      <c r="I246">
        <v>1.2149999999999999E-2</v>
      </c>
      <c r="J246">
        <v>9.2359999999999998E-2</v>
      </c>
      <c r="K246">
        <v>0.13159000000000001</v>
      </c>
    </row>
    <row r="247" spans="8:11">
      <c r="H247">
        <v>170</v>
      </c>
      <c r="I247">
        <v>1.5100000000000001E-3</v>
      </c>
      <c r="J247">
        <v>6.0139999999999999E-2</v>
      </c>
      <c r="K247">
        <v>2.5080000000000002E-2</v>
      </c>
    </row>
    <row r="248" spans="8:11">
      <c r="H248">
        <v>170</v>
      </c>
      <c r="I248">
        <v>3.0200000000000001E-3</v>
      </c>
      <c r="J248">
        <v>0.10639999999999999</v>
      </c>
      <c r="K248">
        <v>2.8410000000000001E-2</v>
      </c>
    </row>
    <row r="249" spans="8:11">
      <c r="H249">
        <v>170</v>
      </c>
      <c r="I249">
        <v>4.6699999999999997E-3</v>
      </c>
      <c r="J249">
        <v>9.0300000000000005E-2</v>
      </c>
      <c r="K249">
        <v>5.1749999999999997E-2</v>
      </c>
    </row>
    <row r="250" spans="8:11">
      <c r="H250">
        <v>170</v>
      </c>
      <c r="I250">
        <v>2.5300000000000001E-3</v>
      </c>
      <c r="J250">
        <v>1.2500000000000001E-2</v>
      </c>
      <c r="K250">
        <v>0.20222999999999999</v>
      </c>
    </row>
    <row r="251" spans="8:11">
      <c r="H251">
        <v>171</v>
      </c>
      <c r="I251">
        <v>8.9200000000000008E-3</v>
      </c>
      <c r="J251">
        <v>8.3699999999999997E-2</v>
      </c>
      <c r="K251">
        <v>0.10655000000000001</v>
      </c>
    </row>
    <row r="252" spans="8:11">
      <c r="H252">
        <v>172</v>
      </c>
      <c r="I252">
        <v>2.9299999999999999E-3</v>
      </c>
      <c r="J252">
        <v>0.14355000000000001</v>
      </c>
      <c r="K252">
        <v>2.044E-2</v>
      </c>
    </row>
    <row r="253" spans="8:11">
      <c r="H253">
        <v>172</v>
      </c>
      <c r="I253">
        <v>4.0400000000000002E-3</v>
      </c>
      <c r="J253">
        <v>8.5559999999999997E-2</v>
      </c>
      <c r="K253">
        <v>4.7169999999999997E-2</v>
      </c>
    </row>
    <row r="254" spans="8:11">
      <c r="H254">
        <v>172</v>
      </c>
      <c r="I254">
        <v>5.3899999999999998E-3</v>
      </c>
      <c r="J254">
        <v>4.5019999999999998E-2</v>
      </c>
      <c r="K254">
        <v>0.11971</v>
      </c>
    </row>
    <row r="255" spans="8:11">
      <c r="H255">
        <v>172</v>
      </c>
      <c r="I255">
        <v>0</v>
      </c>
      <c r="J255">
        <v>0.12349</v>
      </c>
      <c r="K255">
        <v>0</v>
      </c>
    </row>
    <row r="256" spans="8:11">
      <c r="H256">
        <v>172</v>
      </c>
      <c r="I256">
        <v>3.8400000000000001E-3</v>
      </c>
      <c r="J256">
        <v>0.11888</v>
      </c>
      <c r="K256">
        <v>3.2340000000000001E-2</v>
      </c>
    </row>
    <row r="257" spans="8:11">
      <c r="H257">
        <v>172</v>
      </c>
      <c r="I257">
        <v>1.25E-3</v>
      </c>
      <c r="J257">
        <v>3.8150000000000003E-2</v>
      </c>
      <c r="K257">
        <v>3.2899999999999999E-2</v>
      </c>
    </row>
    <row r="258" spans="8:11">
      <c r="H258">
        <v>173</v>
      </c>
      <c r="I258">
        <v>1.226E-2</v>
      </c>
      <c r="J258">
        <v>0.1013</v>
      </c>
      <c r="K258">
        <v>0.12107</v>
      </c>
    </row>
    <row r="259" spans="8:11">
      <c r="H259">
        <v>174</v>
      </c>
      <c r="I259">
        <v>1.353E-2</v>
      </c>
      <c r="J259">
        <v>0.11466</v>
      </c>
      <c r="K259">
        <v>0.11801</v>
      </c>
    </row>
    <row r="260" spans="8:11">
      <c r="H260">
        <v>176</v>
      </c>
      <c r="I260">
        <v>0</v>
      </c>
      <c r="J260">
        <v>8.1909999999999997E-2</v>
      </c>
      <c r="K260">
        <v>0</v>
      </c>
    </row>
    <row r="261" spans="8:11">
      <c r="H261">
        <v>177</v>
      </c>
      <c r="I261">
        <v>0</v>
      </c>
      <c r="J261">
        <v>0.13971</v>
      </c>
      <c r="K261">
        <v>0</v>
      </c>
    </row>
    <row r="262" spans="8:11">
      <c r="H262">
        <v>177</v>
      </c>
      <c r="I262">
        <v>2.4199999999999998E-3</v>
      </c>
      <c r="J262">
        <v>0.12121999999999999</v>
      </c>
      <c r="K262">
        <v>1.9970000000000002E-2</v>
      </c>
    </row>
    <row r="263" spans="8:11">
      <c r="H263">
        <v>177</v>
      </c>
      <c r="I263">
        <v>9.2700000000000005E-3</v>
      </c>
      <c r="J263">
        <v>0.12902</v>
      </c>
      <c r="K263">
        <v>7.1870000000000003E-2</v>
      </c>
    </row>
    <row r="264" spans="8:11">
      <c r="H264">
        <v>179</v>
      </c>
      <c r="I264">
        <v>4.5599999999999998E-3</v>
      </c>
      <c r="J264">
        <v>7.5620000000000007E-2</v>
      </c>
      <c r="K264">
        <v>6.028E-2</v>
      </c>
    </row>
    <row r="265" spans="8:11">
      <c r="H265">
        <v>179</v>
      </c>
      <c r="I265">
        <v>5.6299999999999996E-3</v>
      </c>
      <c r="J265">
        <v>9.8659999999999998E-2</v>
      </c>
      <c r="K265">
        <v>5.7079999999999999E-2</v>
      </c>
    </row>
    <row r="266" spans="8:11">
      <c r="H266">
        <v>179</v>
      </c>
      <c r="I266">
        <v>6.7999999999999996E-3</v>
      </c>
      <c r="J266">
        <v>7.8100000000000003E-2</v>
      </c>
      <c r="K266">
        <v>8.702E-2</v>
      </c>
    </row>
    <row r="267" spans="8:11">
      <c r="H267">
        <v>180</v>
      </c>
      <c r="I267">
        <v>2.8E-3</v>
      </c>
      <c r="J267">
        <v>4.1020000000000001E-2</v>
      </c>
      <c r="K267">
        <v>6.8210000000000007E-2</v>
      </c>
    </row>
    <row r="268" spans="8:11">
      <c r="H268">
        <v>181</v>
      </c>
      <c r="I268">
        <v>9.6000000000000002E-4</v>
      </c>
      <c r="J268">
        <v>0.13363</v>
      </c>
      <c r="K268">
        <v>7.1999999999999998E-3</v>
      </c>
    </row>
    <row r="269" spans="8:11">
      <c r="H269">
        <v>181</v>
      </c>
      <c r="I269">
        <v>1.1690000000000001E-2</v>
      </c>
      <c r="J269">
        <v>9.6369999999999997E-2</v>
      </c>
      <c r="K269">
        <v>0.12132</v>
      </c>
    </row>
    <row r="270" spans="8:11">
      <c r="H270">
        <v>183</v>
      </c>
      <c r="I270">
        <v>7.0800000000000004E-3</v>
      </c>
      <c r="J270">
        <v>6.4610000000000001E-2</v>
      </c>
      <c r="K270">
        <v>0.10954999999999999</v>
      </c>
    </row>
    <row r="271" spans="8:11">
      <c r="H271">
        <v>184</v>
      </c>
      <c r="I271">
        <v>5.77E-3</v>
      </c>
      <c r="J271">
        <v>0.10483000000000001</v>
      </c>
      <c r="K271">
        <v>5.5030000000000003E-2</v>
      </c>
    </row>
    <row r="272" spans="8:11">
      <c r="H272">
        <v>184</v>
      </c>
      <c r="I272">
        <v>1.244E-2</v>
      </c>
      <c r="J272">
        <v>0.13489000000000001</v>
      </c>
      <c r="K272">
        <v>9.2259999999999995E-2</v>
      </c>
    </row>
    <row r="273" spans="8:11">
      <c r="H273">
        <v>185</v>
      </c>
      <c r="I273">
        <v>5.0099999999999997E-3</v>
      </c>
      <c r="J273">
        <v>0.14696000000000001</v>
      </c>
      <c r="K273">
        <v>3.4090000000000002E-2</v>
      </c>
    </row>
    <row r="274" spans="8:11">
      <c r="H274">
        <v>185</v>
      </c>
      <c r="I274">
        <v>6.62E-3</v>
      </c>
      <c r="J274">
        <v>0.123</v>
      </c>
      <c r="K274">
        <v>5.3780000000000001E-2</v>
      </c>
    </row>
    <row r="275" spans="8:11">
      <c r="H275">
        <v>185</v>
      </c>
      <c r="I275">
        <v>1.1800000000000001E-3</v>
      </c>
      <c r="J275">
        <v>0.14388000000000001</v>
      </c>
      <c r="K275">
        <v>8.2299999999999995E-3</v>
      </c>
    </row>
    <row r="276" spans="8:11">
      <c r="H276">
        <v>185</v>
      </c>
      <c r="I276">
        <v>3.8400000000000001E-3</v>
      </c>
      <c r="J276">
        <v>8.0199999999999994E-2</v>
      </c>
      <c r="K276">
        <v>4.7870000000000003E-2</v>
      </c>
    </row>
    <row r="277" spans="8:11">
      <c r="H277">
        <v>186</v>
      </c>
      <c r="I277">
        <v>1.0019999999999999E-2</v>
      </c>
      <c r="J277">
        <v>0.11516</v>
      </c>
      <c r="K277">
        <v>8.702E-2</v>
      </c>
    </row>
    <row r="278" spans="8:11">
      <c r="H278">
        <v>186</v>
      </c>
      <c r="I278">
        <v>6.7999999999999996E-3</v>
      </c>
      <c r="J278">
        <v>0.16053999999999999</v>
      </c>
      <c r="K278">
        <v>4.2360000000000002E-2</v>
      </c>
    </row>
    <row r="279" spans="8:11">
      <c r="H279">
        <v>187</v>
      </c>
      <c r="I279">
        <v>1.8400000000000001E-3</v>
      </c>
      <c r="J279">
        <v>0.10886999999999999</v>
      </c>
      <c r="K279">
        <v>1.6879999999999999E-2</v>
      </c>
    </row>
    <row r="280" spans="8:11">
      <c r="H280">
        <v>187</v>
      </c>
      <c r="I280">
        <v>6.28E-3</v>
      </c>
      <c r="J280">
        <v>0.12975</v>
      </c>
      <c r="K280">
        <v>4.8379999999999999E-2</v>
      </c>
    </row>
    <row r="281" spans="8:11">
      <c r="H281">
        <v>188</v>
      </c>
      <c r="I281">
        <v>8.3300000000000006E-3</v>
      </c>
      <c r="J281">
        <v>0.12706000000000001</v>
      </c>
      <c r="K281">
        <v>6.5559999999999993E-2</v>
      </c>
    </row>
    <row r="282" spans="8:11">
      <c r="H282">
        <v>188</v>
      </c>
      <c r="I282">
        <v>2.2899999999999999E-3</v>
      </c>
      <c r="J282">
        <v>0.13852999999999999</v>
      </c>
      <c r="K282">
        <v>1.6539999999999999E-2</v>
      </c>
    </row>
    <row r="283" spans="8:11">
      <c r="H283">
        <v>189</v>
      </c>
      <c r="I283">
        <v>2.7599999999999999E-3</v>
      </c>
      <c r="J283">
        <v>0.15794</v>
      </c>
      <c r="K283">
        <v>1.745E-2</v>
      </c>
    </row>
    <row r="284" spans="8:11">
      <c r="H284">
        <v>189</v>
      </c>
      <c r="I284">
        <v>4.9899999999999996E-3</v>
      </c>
      <c r="J284">
        <v>9.2399999999999996E-2</v>
      </c>
      <c r="K284">
        <v>5.4030000000000002E-2</v>
      </c>
    </row>
    <row r="285" spans="8:11">
      <c r="H285">
        <v>189</v>
      </c>
      <c r="I285">
        <v>1.247E-2</v>
      </c>
      <c r="J285">
        <v>0.10586</v>
      </c>
      <c r="K285">
        <v>0.1178</v>
      </c>
    </row>
    <row r="286" spans="8:11">
      <c r="H286">
        <v>189</v>
      </c>
      <c r="I286">
        <v>7.11E-3</v>
      </c>
      <c r="J286">
        <v>9.8309999999999995E-2</v>
      </c>
      <c r="K286">
        <v>7.2319999999999995E-2</v>
      </c>
    </row>
    <row r="287" spans="8:11">
      <c r="H287">
        <v>190</v>
      </c>
      <c r="I287">
        <v>0</v>
      </c>
      <c r="J287">
        <v>0.1009</v>
      </c>
      <c r="K287">
        <v>0</v>
      </c>
    </row>
    <row r="288" spans="8:11">
      <c r="H288">
        <v>191</v>
      </c>
      <c r="I288">
        <v>1.456E-2</v>
      </c>
      <c r="J288">
        <v>9.6439999999999998E-2</v>
      </c>
      <c r="K288">
        <v>0.15093999999999999</v>
      </c>
    </row>
    <row r="289" spans="8:11">
      <c r="H289">
        <v>192</v>
      </c>
      <c r="I289">
        <v>2.2499999999999998E-3</v>
      </c>
      <c r="J289">
        <v>0.11365</v>
      </c>
      <c r="K289">
        <v>1.976E-2</v>
      </c>
    </row>
    <row r="290" spans="8:11">
      <c r="H290">
        <v>192</v>
      </c>
      <c r="I290">
        <v>1.74E-3</v>
      </c>
      <c r="J290">
        <v>7.9289999999999999E-2</v>
      </c>
      <c r="K290">
        <v>2.196E-2</v>
      </c>
    </row>
    <row r="291" spans="8:11">
      <c r="H291">
        <v>192</v>
      </c>
      <c r="I291">
        <v>2.2200000000000002E-3</v>
      </c>
      <c r="J291">
        <v>7.1239999999999998E-2</v>
      </c>
      <c r="K291">
        <v>3.116E-2</v>
      </c>
    </row>
    <row r="292" spans="8:11">
      <c r="H292">
        <v>193</v>
      </c>
      <c r="I292">
        <v>3.7599999999999999E-3</v>
      </c>
      <c r="J292">
        <v>0.1356</v>
      </c>
      <c r="K292">
        <v>2.7720000000000002E-2</v>
      </c>
    </row>
    <row r="293" spans="8:11">
      <c r="H293">
        <v>193</v>
      </c>
      <c r="I293">
        <v>9.3200000000000002E-3</v>
      </c>
      <c r="J293">
        <v>0.10578</v>
      </c>
      <c r="K293">
        <v>8.8099999999999998E-2</v>
      </c>
    </row>
    <row r="294" spans="8:11">
      <c r="H294">
        <v>194</v>
      </c>
      <c r="I294">
        <v>6.6499999999999997E-3</v>
      </c>
      <c r="J294">
        <v>8.6690000000000003E-2</v>
      </c>
      <c r="K294">
        <v>7.6730000000000007E-2</v>
      </c>
    </row>
    <row r="295" spans="8:11">
      <c r="H295">
        <v>194</v>
      </c>
      <c r="I295">
        <v>3.9399999999999999E-3</v>
      </c>
      <c r="J295">
        <v>0.11387</v>
      </c>
      <c r="K295">
        <v>3.4639999999999997E-2</v>
      </c>
    </row>
    <row r="296" spans="8:11">
      <c r="H296">
        <v>197</v>
      </c>
      <c r="I296">
        <v>1.1100000000000001E-3</v>
      </c>
      <c r="J296">
        <v>0.12385</v>
      </c>
      <c r="K296">
        <v>8.9700000000000005E-3</v>
      </c>
    </row>
    <row r="297" spans="8:11">
      <c r="H297">
        <v>198</v>
      </c>
      <c r="I297">
        <v>0</v>
      </c>
      <c r="J297">
        <v>8.5339999999999999E-2</v>
      </c>
      <c r="K297">
        <v>0</v>
      </c>
    </row>
    <row r="298" spans="8:11">
      <c r="H298">
        <v>198</v>
      </c>
      <c r="I298">
        <v>3.9899999999999996E-3</v>
      </c>
      <c r="J298">
        <v>0.13428999999999999</v>
      </c>
      <c r="K298">
        <v>2.9680000000000002E-2</v>
      </c>
    </row>
    <row r="299" spans="8:11">
      <c r="H299">
        <v>199</v>
      </c>
      <c r="I299">
        <v>4.7099999999999998E-3</v>
      </c>
      <c r="J299">
        <v>9.2270000000000005E-2</v>
      </c>
      <c r="K299">
        <v>5.1069999999999997E-2</v>
      </c>
    </row>
    <row r="300" spans="8:11">
      <c r="H300">
        <v>199</v>
      </c>
      <c r="I300">
        <v>1.179E-2</v>
      </c>
      <c r="J300">
        <v>0.12834999999999999</v>
      </c>
      <c r="K300">
        <v>9.1840000000000005E-2</v>
      </c>
    </row>
    <row r="301" spans="8:11">
      <c r="H301">
        <v>199</v>
      </c>
      <c r="I301">
        <v>9.9500000000000005E-3</v>
      </c>
      <c r="J301">
        <v>0.13342000000000001</v>
      </c>
      <c r="K301">
        <v>7.4550000000000005E-2</v>
      </c>
    </row>
    <row r="302" spans="8:11">
      <c r="H302">
        <v>201</v>
      </c>
      <c r="I302">
        <v>8.5400000000000007E-3</v>
      </c>
      <c r="J302">
        <v>0.11446000000000001</v>
      </c>
      <c r="K302">
        <v>7.46E-2</v>
      </c>
    </row>
    <row r="303" spans="8:11">
      <c r="H303">
        <v>202</v>
      </c>
      <c r="I303">
        <v>3.0100000000000001E-3</v>
      </c>
      <c r="J303">
        <v>7.6200000000000004E-2</v>
      </c>
      <c r="K303">
        <v>3.9489999999999997E-2</v>
      </c>
    </row>
    <row r="304" spans="8:11">
      <c r="H304">
        <v>202</v>
      </c>
      <c r="I304">
        <v>0</v>
      </c>
      <c r="J304">
        <v>7.6369999999999993E-2</v>
      </c>
      <c r="K304">
        <v>0</v>
      </c>
    </row>
    <row r="305" spans="8:11">
      <c r="H305">
        <v>203</v>
      </c>
      <c r="I305">
        <v>8.7500000000000008E-3</v>
      </c>
      <c r="J305">
        <v>9.5820000000000002E-2</v>
      </c>
      <c r="K305">
        <v>9.1329999999999995E-2</v>
      </c>
    </row>
    <row r="306" spans="8:11">
      <c r="H306">
        <v>204</v>
      </c>
      <c r="I306">
        <v>8.2199999999999999E-3</v>
      </c>
      <c r="J306">
        <v>0.10843</v>
      </c>
      <c r="K306">
        <v>7.578E-2</v>
      </c>
    </row>
    <row r="307" spans="8:11">
      <c r="H307">
        <v>204</v>
      </c>
      <c r="I307">
        <v>2.97E-3</v>
      </c>
      <c r="J307">
        <v>0.12338</v>
      </c>
      <c r="K307">
        <v>2.4080000000000001E-2</v>
      </c>
    </row>
    <row r="308" spans="8:11">
      <c r="H308">
        <v>204</v>
      </c>
      <c r="I308">
        <v>1.8270000000000002E-2</v>
      </c>
      <c r="J308">
        <v>9.2429999999999998E-2</v>
      </c>
      <c r="K308">
        <v>0.19772999999999999</v>
      </c>
    </row>
    <row r="309" spans="8:11">
      <c r="H309">
        <v>204</v>
      </c>
      <c r="I309">
        <v>1.75E-3</v>
      </c>
      <c r="J309">
        <v>0.13102</v>
      </c>
      <c r="K309">
        <v>1.3339999999999999E-2</v>
      </c>
    </row>
    <row r="310" spans="8:11">
      <c r="H310">
        <v>204</v>
      </c>
      <c r="I310">
        <v>4.2300000000000003E-3</v>
      </c>
      <c r="J310">
        <v>0.11225</v>
      </c>
      <c r="K310">
        <v>3.7690000000000001E-2</v>
      </c>
    </row>
    <row r="311" spans="8:11">
      <c r="H311">
        <v>204</v>
      </c>
      <c r="I311">
        <v>4.2300000000000003E-3</v>
      </c>
      <c r="J311">
        <v>0.11225</v>
      </c>
      <c r="K311">
        <v>3.7690000000000001E-2</v>
      </c>
    </row>
    <row r="312" spans="8:11">
      <c r="H312">
        <v>204</v>
      </c>
      <c r="I312">
        <v>4.7099999999999998E-3</v>
      </c>
      <c r="J312">
        <v>5.9839999999999997E-2</v>
      </c>
      <c r="K312">
        <v>7.8670000000000004E-2</v>
      </c>
    </row>
    <row r="313" spans="8:11">
      <c r="H313">
        <v>206</v>
      </c>
      <c r="I313">
        <v>1.082E-2</v>
      </c>
      <c r="J313">
        <v>8.7929999999999994E-2</v>
      </c>
      <c r="K313">
        <v>0.12307999999999999</v>
      </c>
    </row>
    <row r="314" spans="8:11">
      <c r="H314">
        <v>207</v>
      </c>
      <c r="I314">
        <v>1.2800000000000001E-3</v>
      </c>
      <c r="J314">
        <v>4.376E-2</v>
      </c>
      <c r="K314">
        <v>2.929E-2</v>
      </c>
    </row>
    <row r="315" spans="8:11">
      <c r="H315">
        <v>207</v>
      </c>
      <c r="I315">
        <v>7.7400000000000004E-3</v>
      </c>
      <c r="J315">
        <v>0.12834999999999999</v>
      </c>
      <c r="K315">
        <v>6.0290000000000003E-2</v>
      </c>
    </row>
    <row r="316" spans="8:11">
      <c r="H316">
        <v>207</v>
      </c>
      <c r="I316">
        <v>3.3700000000000002E-3</v>
      </c>
      <c r="J316">
        <v>9.2969999999999997E-2</v>
      </c>
      <c r="K316">
        <v>3.6240000000000001E-2</v>
      </c>
    </row>
    <row r="317" spans="8:11">
      <c r="H317">
        <v>207</v>
      </c>
      <c r="I317">
        <v>1.5520000000000001E-2</v>
      </c>
      <c r="J317">
        <v>6.9070000000000006E-2</v>
      </c>
      <c r="K317">
        <v>0.22473000000000001</v>
      </c>
    </row>
    <row r="318" spans="8:11">
      <c r="H318">
        <v>208</v>
      </c>
      <c r="I318">
        <v>8.9800000000000001E-3</v>
      </c>
      <c r="J318">
        <v>9.7699999999999995E-2</v>
      </c>
      <c r="K318">
        <v>9.1920000000000002E-2</v>
      </c>
    </row>
    <row r="319" spans="8:11">
      <c r="H319">
        <v>209</v>
      </c>
      <c r="I319">
        <v>2.0899999999999998E-3</v>
      </c>
      <c r="J319">
        <v>1.8429999999999998E-2</v>
      </c>
      <c r="K319">
        <v>0.11325</v>
      </c>
    </row>
    <row r="320" spans="8:11">
      <c r="H320">
        <v>209</v>
      </c>
      <c r="I320">
        <v>2.4399999999999999E-3</v>
      </c>
      <c r="J320">
        <v>0.13091</v>
      </c>
      <c r="K320">
        <v>1.865E-2</v>
      </c>
    </row>
    <row r="321" spans="8:11">
      <c r="H321">
        <v>210</v>
      </c>
      <c r="I321">
        <v>3.1199999999999999E-3</v>
      </c>
      <c r="J321">
        <v>0.13236999999999999</v>
      </c>
      <c r="K321">
        <v>2.3599999999999999E-2</v>
      </c>
    </row>
    <row r="322" spans="8:11">
      <c r="H322">
        <v>210</v>
      </c>
      <c r="I322">
        <v>2E-3</v>
      </c>
      <c r="J322">
        <v>0.14285999999999999</v>
      </c>
      <c r="K322">
        <v>1.397E-2</v>
      </c>
    </row>
    <row r="323" spans="8:11">
      <c r="H323">
        <v>211</v>
      </c>
      <c r="I323">
        <v>1.8679999999999999E-2</v>
      </c>
      <c r="J323">
        <v>7.3450000000000001E-2</v>
      </c>
      <c r="K323">
        <v>0.25430999999999998</v>
      </c>
    </row>
    <row r="324" spans="8:11">
      <c r="H324">
        <v>211</v>
      </c>
      <c r="I324">
        <v>2.0300000000000001E-3</v>
      </c>
      <c r="J324">
        <v>0.14355000000000001</v>
      </c>
      <c r="K324">
        <v>1.413E-2</v>
      </c>
    </row>
    <row r="325" spans="8:11">
      <c r="H325">
        <v>211</v>
      </c>
      <c r="I325">
        <v>0</v>
      </c>
      <c r="J325">
        <v>0.14641000000000001</v>
      </c>
      <c r="K325">
        <v>0</v>
      </c>
    </row>
    <row r="326" spans="8:11">
      <c r="H326">
        <v>212</v>
      </c>
      <c r="I326">
        <v>0</v>
      </c>
      <c r="J326">
        <v>0.11199000000000001</v>
      </c>
      <c r="K326">
        <v>0</v>
      </c>
    </row>
    <row r="327" spans="8:11">
      <c r="H327">
        <v>212</v>
      </c>
      <c r="I327">
        <v>5.79E-3</v>
      </c>
      <c r="J327">
        <v>0.10616</v>
      </c>
      <c r="K327">
        <v>5.4559999999999997E-2</v>
      </c>
    </row>
    <row r="328" spans="8:11">
      <c r="H328">
        <v>213</v>
      </c>
      <c r="I328">
        <v>8.94E-3</v>
      </c>
      <c r="J328">
        <v>0.11369</v>
      </c>
      <c r="K328">
        <v>7.8640000000000002E-2</v>
      </c>
    </row>
    <row r="329" spans="8:11">
      <c r="H329">
        <v>213</v>
      </c>
      <c r="I329">
        <v>3.3400000000000001E-3</v>
      </c>
      <c r="J329">
        <v>0.11199000000000001</v>
      </c>
      <c r="K329">
        <v>2.9819999999999999E-2</v>
      </c>
    </row>
    <row r="330" spans="8:11">
      <c r="H330">
        <v>214</v>
      </c>
      <c r="I330">
        <v>0</v>
      </c>
      <c r="J330">
        <v>7.3359999999999995E-2</v>
      </c>
      <c r="K330">
        <v>0</v>
      </c>
    </row>
    <row r="331" spans="8:11">
      <c r="H331">
        <v>215</v>
      </c>
      <c r="I331">
        <v>1.2199999999999999E-3</v>
      </c>
      <c r="J331">
        <v>8.6249999999999993E-2</v>
      </c>
      <c r="K331">
        <v>1.414E-2</v>
      </c>
    </row>
    <row r="332" spans="8:11">
      <c r="H332">
        <v>215</v>
      </c>
      <c r="I332">
        <v>8.4399999999999996E-3</v>
      </c>
      <c r="J332">
        <v>0.12937000000000001</v>
      </c>
      <c r="K332">
        <v>6.5250000000000002E-2</v>
      </c>
    </row>
    <row r="333" spans="8:11">
      <c r="H333">
        <v>217</v>
      </c>
      <c r="I333">
        <v>8.0000000000000004E-4</v>
      </c>
      <c r="J333">
        <v>7.3370000000000005E-2</v>
      </c>
      <c r="K333">
        <v>1.093E-2</v>
      </c>
    </row>
    <row r="334" spans="8:11">
      <c r="H334">
        <v>217</v>
      </c>
      <c r="I334">
        <v>2E-3</v>
      </c>
      <c r="J334">
        <v>4.4319999999999998E-2</v>
      </c>
      <c r="K334">
        <v>4.5100000000000001E-2</v>
      </c>
    </row>
    <row r="335" spans="8:11">
      <c r="H335">
        <v>217</v>
      </c>
      <c r="I335">
        <v>9.2099999999999994E-3</v>
      </c>
      <c r="J335">
        <v>0.19839000000000001</v>
      </c>
      <c r="K335">
        <v>4.641E-2</v>
      </c>
    </row>
    <row r="336" spans="8:11">
      <c r="H336">
        <v>217</v>
      </c>
      <c r="I336">
        <v>7.1900000000000002E-3</v>
      </c>
      <c r="J336">
        <v>8.3570000000000005E-2</v>
      </c>
      <c r="K336">
        <v>8.6010000000000003E-2</v>
      </c>
    </row>
    <row r="337" spans="8:11">
      <c r="H337">
        <v>218</v>
      </c>
      <c r="I337">
        <v>7.7999999999999999E-4</v>
      </c>
      <c r="J337">
        <v>8.5550000000000001E-2</v>
      </c>
      <c r="K337">
        <v>9.0799999999999995E-3</v>
      </c>
    </row>
    <row r="338" spans="8:11">
      <c r="H338">
        <v>218</v>
      </c>
      <c r="I338">
        <v>2.0200000000000001E-3</v>
      </c>
      <c r="J338">
        <v>3.6549999999999999E-2</v>
      </c>
      <c r="K338">
        <v>5.534E-2</v>
      </c>
    </row>
    <row r="339" spans="8:11">
      <c r="H339">
        <v>218</v>
      </c>
      <c r="I339">
        <v>5.1500000000000001E-3</v>
      </c>
      <c r="J339">
        <v>4.4940000000000001E-2</v>
      </c>
      <c r="K339">
        <v>0.11469</v>
      </c>
    </row>
    <row r="340" spans="8:11">
      <c r="H340">
        <v>218</v>
      </c>
      <c r="I340">
        <v>5.9699999999999996E-3</v>
      </c>
      <c r="J340">
        <v>0.12186</v>
      </c>
      <c r="K340">
        <v>4.9029999999999997E-2</v>
      </c>
    </row>
    <row r="341" spans="8:11">
      <c r="H341">
        <v>219</v>
      </c>
      <c r="I341">
        <v>9.3500000000000007E-3</v>
      </c>
      <c r="J341">
        <v>7.4840000000000004E-2</v>
      </c>
      <c r="K341">
        <v>0.12486999999999999</v>
      </c>
    </row>
    <row r="342" spans="8:11">
      <c r="H342">
        <v>219</v>
      </c>
      <c r="I342">
        <v>3.0599999999999998E-3</v>
      </c>
      <c r="J342">
        <v>0.10882</v>
      </c>
      <c r="K342">
        <v>2.809E-2</v>
      </c>
    </row>
    <row r="343" spans="8:11">
      <c r="H343">
        <v>220</v>
      </c>
      <c r="I343">
        <v>3.9699999999999996E-3</v>
      </c>
      <c r="J343">
        <v>0.14878</v>
      </c>
      <c r="K343">
        <v>2.6710000000000001E-2</v>
      </c>
    </row>
    <row r="344" spans="8:11">
      <c r="H344">
        <v>221</v>
      </c>
      <c r="I344">
        <v>5.8300000000000001E-3</v>
      </c>
      <c r="J344">
        <v>0.13966000000000001</v>
      </c>
      <c r="K344">
        <v>4.1770000000000002E-2</v>
      </c>
    </row>
    <row r="345" spans="8:11">
      <c r="H345">
        <v>221</v>
      </c>
      <c r="I345">
        <v>2.7000000000000001E-3</v>
      </c>
      <c r="J345">
        <v>0.16051000000000001</v>
      </c>
      <c r="K345">
        <v>1.6789999999999999E-2</v>
      </c>
    </row>
    <row r="346" spans="8:11">
      <c r="H346">
        <v>224</v>
      </c>
      <c r="I346">
        <v>0</v>
      </c>
      <c r="J346">
        <v>9.912E-2</v>
      </c>
      <c r="K346">
        <v>0</v>
      </c>
    </row>
    <row r="347" spans="8:11">
      <c r="H347">
        <v>224</v>
      </c>
      <c r="I347">
        <v>5.5199999999999997E-3</v>
      </c>
      <c r="J347">
        <v>0.16633999999999999</v>
      </c>
      <c r="K347">
        <v>3.32E-2</v>
      </c>
    </row>
    <row r="348" spans="8:11">
      <c r="H348">
        <v>225</v>
      </c>
      <c r="I348">
        <v>3.1700000000000001E-3</v>
      </c>
      <c r="J348">
        <v>8.9279999999999998E-2</v>
      </c>
      <c r="K348">
        <v>3.5479999999999998E-2</v>
      </c>
    </row>
    <row r="349" spans="8:11">
      <c r="H349">
        <v>225</v>
      </c>
      <c r="I349">
        <v>5.2700000000000004E-3</v>
      </c>
      <c r="J349">
        <v>0.12297</v>
      </c>
      <c r="K349">
        <v>4.2869999999999998E-2</v>
      </c>
    </row>
    <row r="350" spans="8:11">
      <c r="H350">
        <v>226</v>
      </c>
      <c r="I350">
        <v>4.1200000000000004E-3</v>
      </c>
      <c r="J350">
        <v>0.11959</v>
      </c>
      <c r="K350">
        <v>3.4470000000000001E-2</v>
      </c>
    </row>
    <row r="351" spans="8:11">
      <c r="H351">
        <v>226</v>
      </c>
      <c r="I351">
        <v>5.3600000000000002E-3</v>
      </c>
      <c r="J351">
        <v>8.6749999999999994E-2</v>
      </c>
      <c r="K351">
        <v>6.1809999999999997E-2</v>
      </c>
    </row>
    <row r="352" spans="8:11">
      <c r="H352">
        <v>227</v>
      </c>
      <c r="I352">
        <v>5.6499999999999996E-3</v>
      </c>
      <c r="J352">
        <v>0.12529000000000001</v>
      </c>
      <c r="K352">
        <v>4.5069999999999999E-2</v>
      </c>
    </row>
    <row r="353" spans="8:11">
      <c r="H353">
        <v>227</v>
      </c>
      <c r="I353">
        <v>4.5799999999999999E-3</v>
      </c>
      <c r="J353">
        <v>0.1246</v>
      </c>
      <c r="K353">
        <v>3.6749999999999998E-2</v>
      </c>
    </row>
    <row r="354" spans="8:11">
      <c r="H354">
        <v>227</v>
      </c>
      <c r="I354">
        <v>2.8600000000000001E-3</v>
      </c>
      <c r="J354">
        <v>0.13408</v>
      </c>
      <c r="K354">
        <v>2.1350000000000001E-2</v>
      </c>
    </row>
    <row r="355" spans="8:11">
      <c r="H355">
        <v>227</v>
      </c>
      <c r="I355">
        <v>6.5100000000000002E-3</v>
      </c>
      <c r="J355">
        <v>0.13780999999999999</v>
      </c>
      <c r="K355">
        <v>4.725E-2</v>
      </c>
    </row>
    <row r="356" spans="8:11">
      <c r="H356">
        <v>228</v>
      </c>
      <c r="I356">
        <v>3.4299999999999999E-3</v>
      </c>
      <c r="J356">
        <v>0.13772000000000001</v>
      </c>
      <c r="K356">
        <v>2.4930000000000001E-2</v>
      </c>
    </row>
    <row r="357" spans="8:11">
      <c r="H357">
        <v>229</v>
      </c>
      <c r="I357">
        <v>8.6999999999999994E-3</v>
      </c>
      <c r="J357">
        <v>0.10492</v>
      </c>
      <c r="K357">
        <v>8.2890000000000005E-2</v>
      </c>
    </row>
    <row r="358" spans="8:11">
      <c r="H358">
        <v>229</v>
      </c>
      <c r="I358">
        <v>0</v>
      </c>
      <c r="J358">
        <v>8.2400000000000001E-2</v>
      </c>
      <c r="K358">
        <v>0</v>
      </c>
    </row>
    <row r="359" spans="8:11">
      <c r="H359">
        <v>229</v>
      </c>
      <c r="I359">
        <v>4.7499999999999999E-3</v>
      </c>
      <c r="J359">
        <v>8.5400000000000004E-2</v>
      </c>
      <c r="K359">
        <v>5.5559999999999998E-2</v>
      </c>
    </row>
    <row r="360" spans="8:11">
      <c r="H360">
        <v>230</v>
      </c>
      <c r="I360">
        <v>7.92E-3</v>
      </c>
      <c r="J360">
        <v>0.10481</v>
      </c>
      <c r="K360">
        <v>7.5560000000000002E-2</v>
      </c>
    </row>
    <row r="361" spans="8:11">
      <c r="H361">
        <v>230</v>
      </c>
      <c r="I361">
        <v>1.4489999999999999E-2</v>
      </c>
      <c r="J361">
        <v>6.2059999999999997E-2</v>
      </c>
      <c r="K361">
        <v>0.23346</v>
      </c>
    </row>
    <row r="362" spans="8:11">
      <c r="H362">
        <v>231</v>
      </c>
      <c r="I362">
        <v>6.6E-3</v>
      </c>
      <c r="J362">
        <v>0.11032</v>
      </c>
      <c r="K362">
        <v>5.987E-2</v>
      </c>
    </row>
    <row r="363" spans="8:11">
      <c r="H363">
        <v>232</v>
      </c>
      <c r="I363">
        <v>3.79E-3</v>
      </c>
      <c r="J363">
        <v>0.1037</v>
      </c>
      <c r="K363">
        <v>3.6549999999999999E-2</v>
      </c>
    </row>
    <row r="364" spans="8:11">
      <c r="H364">
        <v>233</v>
      </c>
      <c r="I364">
        <v>1.48E-3</v>
      </c>
      <c r="J364">
        <v>0.14333000000000001</v>
      </c>
      <c r="K364">
        <v>1.0319999999999999E-2</v>
      </c>
    </row>
    <row r="365" spans="8:11">
      <c r="H365">
        <v>233</v>
      </c>
      <c r="I365">
        <v>2.2499999999999998E-3</v>
      </c>
      <c r="J365">
        <v>0.14147000000000001</v>
      </c>
      <c r="K365">
        <v>1.5879999999999998E-2</v>
      </c>
    </row>
    <row r="366" spans="8:11">
      <c r="H366">
        <v>233</v>
      </c>
      <c r="I366">
        <v>6.9499999999999996E-3</v>
      </c>
      <c r="J366">
        <v>0.11204</v>
      </c>
      <c r="K366">
        <v>6.2050000000000001E-2</v>
      </c>
    </row>
    <row r="367" spans="8:11">
      <c r="H367">
        <v>234</v>
      </c>
      <c r="I367">
        <v>9.9500000000000005E-3</v>
      </c>
      <c r="J367">
        <v>0.13166</v>
      </c>
      <c r="K367">
        <v>7.5579999999999994E-2</v>
      </c>
    </row>
    <row r="368" spans="8:11">
      <c r="H368">
        <v>235</v>
      </c>
      <c r="I368">
        <v>4.9699999999999996E-3</v>
      </c>
      <c r="J368">
        <v>0.12912000000000001</v>
      </c>
      <c r="K368">
        <v>3.8519999999999999E-2</v>
      </c>
    </row>
    <row r="369" spans="8:11">
      <c r="H369">
        <v>235</v>
      </c>
      <c r="I369">
        <v>0</v>
      </c>
      <c r="J369">
        <v>0.12139999999999999</v>
      </c>
      <c r="K369">
        <v>0</v>
      </c>
    </row>
    <row r="370" spans="8:11">
      <c r="H370">
        <v>236</v>
      </c>
      <c r="I370">
        <v>1.8400000000000001E-3</v>
      </c>
      <c r="J370">
        <v>0.12231</v>
      </c>
      <c r="K370">
        <v>1.508E-2</v>
      </c>
    </row>
    <row r="371" spans="8:11">
      <c r="H371">
        <v>237</v>
      </c>
      <c r="I371">
        <v>6.6499999999999997E-3</v>
      </c>
      <c r="J371">
        <v>0.12564</v>
      </c>
      <c r="K371">
        <v>5.2940000000000001E-2</v>
      </c>
    </row>
    <row r="372" spans="8:11">
      <c r="H372">
        <v>239</v>
      </c>
      <c r="I372">
        <v>6.3600000000000002E-3</v>
      </c>
      <c r="J372">
        <v>0.16822999999999999</v>
      </c>
      <c r="K372">
        <v>3.7789999999999997E-2</v>
      </c>
    </row>
    <row r="373" spans="8:11">
      <c r="H373">
        <v>240</v>
      </c>
      <c r="I373">
        <v>0</v>
      </c>
      <c r="J373">
        <v>7.5130000000000002E-2</v>
      </c>
      <c r="K373">
        <v>0</v>
      </c>
    </row>
    <row r="374" spans="8:11">
      <c r="H374">
        <v>240</v>
      </c>
      <c r="I374">
        <v>3.9300000000000003E-3</v>
      </c>
      <c r="J374">
        <v>0.14022000000000001</v>
      </c>
      <c r="K374">
        <v>2.802E-2</v>
      </c>
    </row>
    <row r="375" spans="8:11">
      <c r="H375">
        <v>241</v>
      </c>
      <c r="I375">
        <v>9.4999999999999998E-3</v>
      </c>
      <c r="J375">
        <v>0.14581</v>
      </c>
      <c r="K375">
        <v>6.5129999999999993E-2</v>
      </c>
    </row>
    <row r="376" spans="8:11">
      <c r="H376">
        <v>241</v>
      </c>
      <c r="I376">
        <v>4.4799999999999996E-3</v>
      </c>
      <c r="J376">
        <v>0.12375</v>
      </c>
      <c r="K376">
        <v>3.6200000000000003E-2</v>
      </c>
    </row>
    <row r="377" spans="8:11">
      <c r="H377">
        <v>244</v>
      </c>
      <c r="I377">
        <v>7.2500000000000004E-3</v>
      </c>
      <c r="J377">
        <v>9.9379999999999996E-2</v>
      </c>
      <c r="K377">
        <v>7.2900000000000006E-2</v>
      </c>
    </row>
    <row r="378" spans="8:11">
      <c r="H378">
        <v>244</v>
      </c>
      <c r="I378">
        <v>2.4199999999999998E-3</v>
      </c>
      <c r="J378">
        <v>9.7809999999999994E-2</v>
      </c>
      <c r="K378">
        <v>2.4750000000000001E-2</v>
      </c>
    </row>
    <row r="379" spans="8:11">
      <c r="H379">
        <v>245</v>
      </c>
      <c r="I379">
        <v>2.8400000000000001E-3</v>
      </c>
      <c r="J379">
        <v>0.13563</v>
      </c>
      <c r="K379">
        <v>2.0969999999999999E-2</v>
      </c>
    </row>
    <row r="380" spans="8:11">
      <c r="H380">
        <v>246</v>
      </c>
      <c r="I380">
        <v>9.6900000000000007E-3</v>
      </c>
      <c r="J380">
        <v>5.722E-2</v>
      </c>
      <c r="K380">
        <v>0.16929</v>
      </c>
    </row>
    <row r="381" spans="8:11">
      <c r="H381">
        <v>246</v>
      </c>
      <c r="I381">
        <v>0</v>
      </c>
      <c r="J381">
        <v>3.0679999999999999E-2</v>
      </c>
      <c r="K381">
        <v>0</v>
      </c>
    </row>
    <row r="382" spans="8:11">
      <c r="H382">
        <v>246</v>
      </c>
      <c r="I382">
        <v>1.8409999999999999E-2</v>
      </c>
      <c r="J382">
        <v>8.387E-2</v>
      </c>
      <c r="K382">
        <v>0.2195</v>
      </c>
    </row>
    <row r="383" spans="8:11">
      <c r="H383">
        <v>247</v>
      </c>
      <c r="I383">
        <v>1.03E-2</v>
      </c>
      <c r="J383">
        <v>9.7140000000000004E-2</v>
      </c>
      <c r="K383">
        <v>0.10604</v>
      </c>
    </row>
    <row r="384" spans="8:11">
      <c r="H384">
        <v>247</v>
      </c>
      <c r="I384">
        <v>2.1199999999999999E-3</v>
      </c>
      <c r="J384">
        <v>0.13667000000000001</v>
      </c>
      <c r="K384">
        <v>1.5509999999999999E-2</v>
      </c>
    </row>
    <row r="385" spans="8:11">
      <c r="H385">
        <v>248</v>
      </c>
      <c r="I385">
        <v>1.72E-3</v>
      </c>
      <c r="J385">
        <v>0.13333</v>
      </c>
      <c r="K385">
        <v>1.2919999999999999E-2</v>
      </c>
    </row>
    <row r="386" spans="8:11">
      <c r="H386">
        <v>248</v>
      </c>
      <c r="I386">
        <v>7.0699999999999999E-3</v>
      </c>
      <c r="J386">
        <v>8.1320000000000003E-2</v>
      </c>
      <c r="K386">
        <v>8.6889999999999995E-2</v>
      </c>
    </row>
    <row r="387" spans="8:11">
      <c r="H387">
        <v>249</v>
      </c>
      <c r="I387">
        <v>2.4599999999999999E-3</v>
      </c>
      <c r="J387">
        <v>0.13777</v>
      </c>
      <c r="K387">
        <v>1.7840000000000002E-2</v>
      </c>
    </row>
    <row r="388" spans="8:11">
      <c r="H388">
        <v>249</v>
      </c>
      <c r="I388">
        <v>2E-3</v>
      </c>
      <c r="J388">
        <v>0.11638999999999999</v>
      </c>
      <c r="K388">
        <v>1.721E-2</v>
      </c>
    </row>
    <row r="389" spans="8:11">
      <c r="H389">
        <v>249</v>
      </c>
      <c r="I389">
        <v>5.9500000000000004E-3</v>
      </c>
      <c r="J389">
        <v>0.13544</v>
      </c>
      <c r="K389">
        <v>4.3950000000000003E-2</v>
      </c>
    </row>
    <row r="390" spans="8:11">
      <c r="H390">
        <v>250</v>
      </c>
      <c r="I390">
        <v>3.7200000000000002E-3</v>
      </c>
      <c r="J390">
        <v>0.15443999999999999</v>
      </c>
      <c r="K390">
        <v>2.409E-2</v>
      </c>
    </row>
    <row r="391" spans="8:11">
      <c r="H391">
        <v>251</v>
      </c>
      <c r="I391">
        <v>2.8900000000000002E-3</v>
      </c>
      <c r="J391">
        <v>0.10538</v>
      </c>
      <c r="K391">
        <v>2.741E-2</v>
      </c>
    </row>
    <row r="392" spans="8:11">
      <c r="H392">
        <v>251</v>
      </c>
      <c r="I392">
        <v>5.8799999999999998E-3</v>
      </c>
      <c r="J392">
        <v>9.8150000000000001E-2</v>
      </c>
      <c r="K392">
        <v>5.9950000000000003E-2</v>
      </c>
    </row>
    <row r="393" spans="8:11">
      <c r="H393">
        <v>251</v>
      </c>
      <c r="I393">
        <v>5.62E-3</v>
      </c>
      <c r="J393">
        <v>5.3420000000000002E-2</v>
      </c>
      <c r="K393">
        <v>0.10517</v>
      </c>
    </row>
    <row r="394" spans="8:11">
      <c r="H394">
        <v>251</v>
      </c>
      <c r="I394">
        <v>6.45E-3</v>
      </c>
      <c r="J394">
        <v>0.11654</v>
      </c>
      <c r="K394">
        <v>5.5329999999999997E-2</v>
      </c>
    </row>
    <row r="395" spans="8:11">
      <c r="H395">
        <v>253</v>
      </c>
      <c r="I395">
        <v>2.7399999999999998E-3</v>
      </c>
      <c r="J395">
        <v>5.1790000000000003E-2</v>
      </c>
      <c r="K395">
        <v>5.2920000000000002E-2</v>
      </c>
    </row>
    <row r="396" spans="8:11">
      <c r="H396">
        <v>254</v>
      </c>
      <c r="I396">
        <v>7.0600000000000003E-3</v>
      </c>
      <c r="J396">
        <v>0.11309</v>
      </c>
      <c r="K396">
        <v>6.2390000000000001E-2</v>
      </c>
    </row>
    <row r="397" spans="8:11">
      <c r="H397">
        <v>254</v>
      </c>
      <c r="I397">
        <v>1.247E-2</v>
      </c>
      <c r="J397">
        <v>0.14504</v>
      </c>
      <c r="K397">
        <v>8.5970000000000005E-2</v>
      </c>
    </row>
    <row r="398" spans="8:11">
      <c r="H398">
        <v>254</v>
      </c>
      <c r="I398">
        <v>1.158E-2</v>
      </c>
      <c r="J398">
        <v>0.10874</v>
      </c>
      <c r="K398">
        <v>0.10645</v>
      </c>
    </row>
    <row r="399" spans="8:11">
      <c r="H399">
        <v>254</v>
      </c>
      <c r="I399">
        <v>8.4000000000000003E-4</v>
      </c>
      <c r="J399">
        <v>9.3890000000000001E-2</v>
      </c>
      <c r="K399">
        <v>8.9499999999999996E-3</v>
      </c>
    </row>
    <row r="400" spans="8:11">
      <c r="H400">
        <v>255</v>
      </c>
      <c r="I400">
        <v>1.1299999999999999E-3</v>
      </c>
      <c r="J400">
        <v>0.15451999999999999</v>
      </c>
      <c r="K400">
        <v>7.3200000000000001E-3</v>
      </c>
    </row>
    <row r="401" spans="8:11">
      <c r="H401">
        <v>255</v>
      </c>
      <c r="I401">
        <v>1.3500000000000001E-3</v>
      </c>
      <c r="J401">
        <v>0.11948</v>
      </c>
      <c r="K401">
        <v>1.1259999999999999E-2</v>
      </c>
    </row>
    <row r="402" spans="8:11">
      <c r="H402">
        <v>255</v>
      </c>
      <c r="I402">
        <v>1.1769999999999999E-2</v>
      </c>
      <c r="J402">
        <v>0.13300999999999999</v>
      </c>
      <c r="K402">
        <v>8.8459999999999997E-2</v>
      </c>
    </row>
    <row r="403" spans="8:11">
      <c r="H403">
        <v>255</v>
      </c>
      <c r="I403">
        <v>2.3999999999999998E-3</v>
      </c>
      <c r="J403">
        <v>0.11508</v>
      </c>
      <c r="K403">
        <v>2.0820000000000002E-2</v>
      </c>
    </row>
    <row r="404" spans="8:11">
      <c r="H404">
        <v>255</v>
      </c>
      <c r="I404">
        <v>2.3999999999999998E-3</v>
      </c>
      <c r="J404">
        <v>0.11508</v>
      </c>
      <c r="K404">
        <v>2.0820000000000002E-2</v>
      </c>
    </row>
    <row r="405" spans="8:11">
      <c r="H405">
        <v>255</v>
      </c>
      <c r="I405">
        <v>2.3999999999999998E-3</v>
      </c>
      <c r="J405">
        <v>0.11508</v>
      </c>
      <c r="K405">
        <v>2.0820000000000002E-2</v>
      </c>
    </row>
    <row r="406" spans="8:11">
      <c r="H406">
        <v>255</v>
      </c>
      <c r="I406">
        <v>2.3999999999999998E-3</v>
      </c>
      <c r="J406">
        <v>0.11508</v>
      </c>
      <c r="K406">
        <v>2.0820000000000002E-2</v>
      </c>
    </row>
    <row r="407" spans="8:11">
      <c r="H407">
        <v>255</v>
      </c>
      <c r="I407">
        <v>5.0699999999999999E-3</v>
      </c>
      <c r="J407">
        <v>0.15745999999999999</v>
      </c>
      <c r="K407">
        <v>3.218E-2</v>
      </c>
    </row>
    <row r="408" spans="8:11">
      <c r="H408">
        <v>256</v>
      </c>
      <c r="I408">
        <v>8.8699999999999994E-3</v>
      </c>
      <c r="J408">
        <v>8.4140000000000006E-2</v>
      </c>
      <c r="K408">
        <v>0.10544000000000001</v>
      </c>
    </row>
    <row r="409" spans="8:11">
      <c r="H409">
        <v>256</v>
      </c>
      <c r="I409">
        <v>1.627E-2</v>
      </c>
      <c r="J409">
        <v>8.3690000000000001E-2</v>
      </c>
      <c r="K409">
        <v>0.19442000000000001</v>
      </c>
    </row>
    <row r="410" spans="8:11">
      <c r="H410">
        <v>256</v>
      </c>
      <c r="I410">
        <v>1.0789999999999999E-2</v>
      </c>
      <c r="J410">
        <v>0.12672</v>
      </c>
      <c r="K410">
        <v>8.5139999999999993E-2</v>
      </c>
    </row>
    <row r="411" spans="8:11">
      <c r="H411">
        <v>257</v>
      </c>
      <c r="I411">
        <v>6.1900000000000002E-3</v>
      </c>
      <c r="J411">
        <v>0.12479999999999999</v>
      </c>
      <c r="K411">
        <v>4.9639999999999997E-2</v>
      </c>
    </row>
    <row r="412" spans="8:11">
      <c r="H412">
        <v>257</v>
      </c>
      <c r="I412">
        <v>9.4500000000000001E-3</v>
      </c>
      <c r="J412">
        <v>0.11658</v>
      </c>
      <c r="K412">
        <v>8.1049999999999997E-2</v>
      </c>
    </row>
    <row r="413" spans="8:11">
      <c r="H413">
        <v>257</v>
      </c>
      <c r="I413">
        <v>8.9800000000000001E-3</v>
      </c>
      <c r="J413">
        <v>0.15135000000000001</v>
      </c>
      <c r="K413">
        <v>5.9339999999999997E-2</v>
      </c>
    </row>
    <row r="414" spans="8:11">
      <c r="H414">
        <v>257</v>
      </c>
      <c r="I414">
        <v>8.8199999999999997E-3</v>
      </c>
      <c r="J414">
        <v>0.11513</v>
      </c>
      <c r="K414">
        <v>7.6600000000000001E-2</v>
      </c>
    </row>
    <row r="415" spans="8:11">
      <c r="H415">
        <v>257</v>
      </c>
      <c r="I415">
        <v>4.3800000000000002E-3</v>
      </c>
      <c r="J415">
        <v>0.14197000000000001</v>
      </c>
      <c r="K415">
        <v>3.0880000000000001E-2</v>
      </c>
    </row>
    <row r="416" spans="8:11">
      <c r="H416">
        <v>257</v>
      </c>
      <c r="I416">
        <v>7.0299999999999998E-3</v>
      </c>
      <c r="J416">
        <v>0.14233999999999999</v>
      </c>
      <c r="K416">
        <v>4.9369999999999997E-2</v>
      </c>
    </row>
    <row r="417" spans="8:11">
      <c r="H417">
        <v>257</v>
      </c>
      <c r="I417">
        <v>7.4000000000000003E-3</v>
      </c>
      <c r="J417">
        <v>8.9990000000000001E-2</v>
      </c>
      <c r="K417">
        <v>8.2189999999999999E-2</v>
      </c>
    </row>
    <row r="418" spans="8:11">
      <c r="H418">
        <v>258</v>
      </c>
      <c r="I418">
        <v>1.6900000000000001E-3</v>
      </c>
      <c r="J418">
        <v>0.12892999999999999</v>
      </c>
      <c r="K418">
        <v>1.3089999999999999E-2</v>
      </c>
    </row>
    <row r="419" spans="8:11">
      <c r="H419">
        <v>259</v>
      </c>
      <c r="I419">
        <v>0</v>
      </c>
      <c r="J419">
        <v>0.16600000000000001</v>
      </c>
      <c r="K419">
        <v>0</v>
      </c>
    </row>
    <row r="420" spans="8:11">
      <c r="H420">
        <v>260</v>
      </c>
      <c r="I420">
        <v>9.7999999999999997E-4</v>
      </c>
      <c r="J420">
        <v>9.5039999999999999E-2</v>
      </c>
      <c r="K420">
        <v>1.03E-2</v>
      </c>
    </row>
    <row r="421" spans="8:11">
      <c r="H421">
        <v>260</v>
      </c>
      <c r="I421">
        <v>6.9199999999999999E-3</v>
      </c>
      <c r="J421">
        <v>0.1033</v>
      </c>
      <c r="K421">
        <v>6.6970000000000002E-2</v>
      </c>
    </row>
    <row r="422" spans="8:11">
      <c r="H422">
        <v>261</v>
      </c>
      <c r="I422">
        <v>1.31E-3</v>
      </c>
      <c r="J422">
        <v>9.3119999999999994E-2</v>
      </c>
      <c r="K422">
        <v>1.4019999999999999E-2</v>
      </c>
    </row>
    <row r="423" spans="8:11">
      <c r="H423">
        <v>261</v>
      </c>
      <c r="I423">
        <v>2.5999999999999999E-3</v>
      </c>
      <c r="J423">
        <v>9.5820000000000002E-2</v>
      </c>
      <c r="K423">
        <v>2.7179999999999999E-2</v>
      </c>
    </row>
    <row r="424" spans="8:11">
      <c r="H424">
        <v>262</v>
      </c>
      <c r="I424">
        <v>3.2799999999999999E-3</v>
      </c>
      <c r="J424">
        <v>0.11916</v>
      </c>
      <c r="K424">
        <v>2.7539999999999999E-2</v>
      </c>
    </row>
    <row r="425" spans="8:11">
      <c r="H425">
        <v>262</v>
      </c>
      <c r="I425">
        <v>4.4400000000000004E-3</v>
      </c>
      <c r="J425">
        <v>0.11717</v>
      </c>
      <c r="K425">
        <v>3.7879999999999997E-2</v>
      </c>
    </row>
    <row r="426" spans="8:11">
      <c r="H426">
        <v>263</v>
      </c>
      <c r="I426">
        <v>3.5500000000000002E-3</v>
      </c>
      <c r="J426">
        <v>0.15128</v>
      </c>
      <c r="K426">
        <v>2.3460000000000002E-2</v>
      </c>
    </row>
    <row r="427" spans="8:11">
      <c r="H427">
        <v>264</v>
      </c>
      <c r="I427">
        <v>6.3200000000000001E-3</v>
      </c>
      <c r="J427">
        <v>0.13153999999999999</v>
      </c>
      <c r="K427">
        <v>4.8059999999999999E-2</v>
      </c>
    </row>
    <row r="428" spans="8:11">
      <c r="H428">
        <v>266</v>
      </c>
      <c r="I428">
        <v>8.1999999999999998E-4</v>
      </c>
      <c r="J428">
        <v>0.13721</v>
      </c>
      <c r="K428">
        <v>5.9500000000000004E-3</v>
      </c>
    </row>
    <row r="429" spans="8:11">
      <c r="H429">
        <v>267</v>
      </c>
      <c r="I429">
        <v>1.5990000000000001E-2</v>
      </c>
      <c r="J429">
        <v>9.4589999999999994E-2</v>
      </c>
      <c r="K429">
        <v>0.16905999999999999</v>
      </c>
    </row>
    <row r="430" spans="8:11">
      <c r="H430">
        <v>267</v>
      </c>
      <c r="I430">
        <v>1.9400000000000001E-3</v>
      </c>
      <c r="J430">
        <v>0.13375000000000001</v>
      </c>
      <c r="K430">
        <v>1.448E-2</v>
      </c>
    </row>
    <row r="431" spans="8:11">
      <c r="H431">
        <v>268</v>
      </c>
      <c r="I431">
        <v>4.5500000000000002E-3</v>
      </c>
      <c r="J431">
        <v>0.12052</v>
      </c>
      <c r="K431">
        <v>3.7769999999999998E-2</v>
      </c>
    </row>
    <row r="432" spans="8:11">
      <c r="H432">
        <v>269</v>
      </c>
      <c r="I432">
        <v>7.5599999999999999E-3</v>
      </c>
      <c r="J432">
        <v>9.8610000000000003E-2</v>
      </c>
      <c r="K432">
        <v>7.671E-2</v>
      </c>
    </row>
    <row r="433" spans="8:11">
      <c r="H433">
        <v>269</v>
      </c>
      <c r="I433">
        <v>2.9099999999999998E-3</v>
      </c>
      <c r="J433">
        <v>0.13669000000000001</v>
      </c>
      <c r="K433">
        <v>2.1260000000000001E-2</v>
      </c>
    </row>
    <row r="434" spans="8:11">
      <c r="H434">
        <v>269</v>
      </c>
      <c r="I434">
        <v>4.0299999999999997E-3</v>
      </c>
      <c r="J434">
        <v>0.1087</v>
      </c>
      <c r="K434">
        <v>3.7109999999999997E-2</v>
      </c>
    </row>
    <row r="435" spans="8:11">
      <c r="H435">
        <v>270</v>
      </c>
      <c r="I435">
        <v>9.7000000000000005E-4</v>
      </c>
      <c r="J435">
        <v>0.1492</v>
      </c>
      <c r="K435">
        <v>6.4900000000000001E-3</v>
      </c>
    </row>
    <row r="436" spans="8:11">
      <c r="H436">
        <v>270</v>
      </c>
      <c r="I436">
        <v>9.0399999999999994E-3</v>
      </c>
      <c r="J436">
        <v>0.14885999999999999</v>
      </c>
      <c r="K436">
        <v>6.0729999999999999E-2</v>
      </c>
    </row>
    <row r="437" spans="8:11">
      <c r="H437">
        <v>271</v>
      </c>
      <c r="I437">
        <v>0</v>
      </c>
      <c r="J437">
        <v>0.12263</v>
      </c>
      <c r="K437">
        <v>0</v>
      </c>
    </row>
    <row r="438" spans="8:11">
      <c r="H438">
        <v>271</v>
      </c>
      <c r="I438">
        <v>3.5000000000000001E-3</v>
      </c>
      <c r="J438">
        <v>0.17760000000000001</v>
      </c>
      <c r="K438">
        <v>1.968E-2</v>
      </c>
    </row>
    <row r="439" spans="8:11">
      <c r="H439">
        <v>273</v>
      </c>
      <c r="I439">
        <v>3.2000000000000003E-4</v>
      </c>
      <c r="J439">
        <v>0.12570999999999999</v>
      </c>
      <c r="K439">
        <v>2.5400000000000002E-3</v>
      </c>
    </row>
    <row r="440" spans="8:11">
      <c r="H440">
        <v>273</v>
      </c>
      <c r="I440">
        <v>1.04E-2</v>
      </c>
      <c r="J440">
        <v>0.14312</v>
      </c>
      <c r="K440">
        <v>7.2690000000000005E-2</v>
      </c>
    </row>
    <row r="441" spans="8:11">
      <c r="H441">
        <v>274</v>
      </c>
      <c r="I441">
        <v>1.64E-3</v>
      </c>
      <c r="J441">
        <v>0.13286999999999999</v>
      </c>
      <c r="K441">
        <v>1.2319999999999999E-2</v>
      </c>
    </row>
    <row r="442" spans="8:11">
      <c r="H442">
        <v>274</v>
      </c>
      <c r="I442">
        <v>4.4099999999999999E-3</v>
      </c>
      <c r="J442">
        <v>9.2810000000000004E-2</v>
      </c>
      <c r="K442">
        <v>4.7550000000000002E-2</v>
      </c>
    </row>
    <row r="443" spans="8:11">
      <c r="H443">
        <v>275</v>
      </c>
      <c r="I443">
        <v>2.1900000000000001E-3</v>
      </c>
      <c r="J443">
        <v>0.11305999999999999</v>
      </c>
      <c r="K443">
        <v>1.9390000000000001E-2</v>
      </c>
    </row>
    <row r="444" spans="8:11">
      <c r="H444">
        <v>275</v>
      </c>
      <c r="I444">
        <v>7.5100000000000002E-3</v>
      </c>
      <c r="J444">
        <v>0.1192</v>
      </c>
      <c r="K444">
        <v>6.2979999999999994E-2</v>
      </c>
    </row>
    <row r="445" spans="8:11">
      <c r="H445">
        <v>275</v>
      </c>
      <c r="I445">
        <v>2.5400000000000002E-3</v>
      </c>
      <c r="J445">
        <v>0.11883000000000001</v>
      </c>
      <c r="K445">
        <v>2.1389999999999999E-2</v>
      </c>
    </row>
    <row r="446" spans="8:11">
      <c r="H446">
        <v>276</v>
      </c>
      <c r="I446">
        <v>0</v>
      </c>
      <c r="J446">
        <v>0.11570999999999999</v>
      </c>
      <c r="K446">
        <v>0</v>
      </c>
    </row>
    <row r="447" spans="8:11">
      <c r="H447">
        <v>276</v>
      </c>
      <c r="I447">
        <v>4.62E-3</v>
      </c>
      <c r="J447">
        <v>0.12466000000000001</v>
      </c>
      <c r="K447">
        <v>3.705E-2</v>
      </c>
    </row>
    <row r="448" spans="8:11">
      <c r="H448">
        <v>276</v>
      </c>
      <c r="I448">
        <v>1.5499999999999999E-3</v>
      </c>
      <c r="J448">
        <v>0.13344</v>
      </c>
      <c r="K448">
        <v>1.1639999999999999E-2</v>
      </c>
    </row>
    <row r="449" spans="8:11">
      <c r="H449">
        <v>276</v>
      </c>
      <c r="I449">
        <v>5.1399999999999996E-3</v>
      </c>
      <c r="J449">
        <v>8.4699999999999998E-2</v>
      </c>
      <c r="K449">
        <v>6.0699999999999997E-2</v>
      </c>
    </row>
    <row r="450" spans="8:11">
      <c r="H450">
        <v>277</v>
      </c>
      <c r="I450">
        <v>0</v>
      </c>
      <c r="J450">
        <v>3.805E-2</v>
      </c>
      <c r="K450">
        <v>0</v>
      </c>
    </row>
    <row r="451" spans="8:11">
      <c r="H451">
        <v>277</v>
      </c>
      <c r="I451">
        <v>5.3899999999999998E-3</v>
      </c>
      <c r="J451">
        <v>0.12778999999999999</v>
      </c>
      <c r="K451">
        <v>4.2139999999999997E-2</v>
      </c>
    </row>
    <row r="452" spans="8:11">
      <c r="H452">
        <v>278</v>
      </c>
      <c r="I452">
        <v>1.406E-2</v>
      </c>
      <c r="J452">
        <v>9.1789999999999997E-2</v>
      </c>
      <c r="K452">
        <v>0.15315000000000001</v>
      </c>
    </row>
    <row r="453" spans="8:11">
      <c r="H453">
        <v>278</v>
      </c>
      <c r="I453">
        <v>4.6499999999999996E-3</v>
      </c>
      <c r="J453">
        <v>0.15168000000000001</v>
      </c>
      <c r="K453">
        <v>3.0640000000000001E-2</v>
      </c>
    </row>
    <row r="454" spans="8:11">
      <c r="H454">
        <v>278</v>
      </c>
      <c r="I454">
        <v>5.1200000000000004E-3</v>
      </c>
      <c r="J454">
        <v>0.13213</v>
      </c>
      <c r="K454">
        <v>3.8769999999999999E-2</v>
      </c>
    </row>
    <row r="455" spans="8:11">
      <c r="H455">
        <v>280</v>
      </c>
      <c r="I455">
        <v>2.8999999999999998E-3</v>
      </c>
      <c r="J455">
        <v>0.13639000000000001</v>
      </c>
      <c r="K455">
        <v>2.1260000000000001E-2</v>
      </c>
    </row>
    <row r="456" spans="8:11">
      <c r="H456">
        <v>281</v>
      </c>
      <c r="I456">
        <v>2.7599999999999999E-3</v>
      </c>
      <c r="J456">
        <v>8.2189999999999999E-2</v>
      </c>
      <c r="K456">
        <v>3.3590000000000002E-2</v>
      </c>
    </row>
    <row r="457" spans="8:11">
      <c r="H457">
        <v>281</v>
      </c>
      <c r="I457">
        <v>2.7599999999999999E-3</v>
      </c>
      <c r="J457">
        <v>8.2189999999999999E-2</v>
      </c>
      <c r="K457">
        <v>3.3590000000000002E-2</v>
      </c>
    </row>
    <row r="458" spans="8:11">
      <c r="H458">
        <v>281</v>
      </c>
      <c r="I458">
        <v>4.6600000000000001E-3</v>
      </c>
      <c r="J458">
        <v>9.1490000000000002E-2</v>
      </c>
      <c r="K458">
        <v>5.0889999999999998E-2</v>
      </c>
    </row>
    <row r="459" spans="8:11">
      <c r="H459">
        <v>281</v>
      </c>
      <c r="I459">
        <v>5.3099999999999996E-3</v>
      </c>
      <c r="J459">
        <v>0.17824000000000001</v>
      </c>
      <c r="K459">
        <v>2.981E-2</v>
      </c>
    </row>
    <row r="460" spans="8:11">
      <c r="H460">
        <v>282</v>
      </c>
      <c r="I460">
        <v>3.79E-3</v>
      </c>
      <c r="J460">
        <v>0.11488</v>
      </c>
      <c r="K460">
        <v>3.3020000000000001E-2</v>
      </c>
    </row>
    <row r="461" spans="8:11">
      <c r="H461">
        <v>282</v>
      </c>
      <c r="I461">
        <v>2.8400000000000001E-3</v>
      </c>
      <c r="J461">
        <v>0.12633</v>
      </c>
      <c r="K461">
        <v>2.249E-2</v>
      </c>
    </row>
    <row r="462" spans="8:11">
      <c r="H462">
        <v>282</v>
      </c>
      <c r="I462">
        <v>5.4000000000000003E-3</v>
      </c>
      <c r="J462">
        <v>0.13017999999999999</v>
      </c>
      <c r="K462">
        <v>4.1459999999999997E-2</v>
      </c>
    </row>
    <row r="463" spans="8:11">
      <c r="H463">
        <v>283</v>
      </c>
      <c r="I463">
        <v>1.5399999999999999E-3</v>
      </c>
      <c r="J463">
        <v>8.5089999999999999E-2</v>
      </c>
      <c r="K463">
        <v>1.806E-2</v>
      </c>
    </row>
    <row r="464" spans="8:11">
      <c r="H464">
        <v>283</v>
      </c>
      <c r="I464">
        <v>2.4199999999999998E-3</v>
      </c>
      <c r="J464">
        <v>0.10086000000000001</v>
      </c>
      <c r="K464">
        <v>2.402E-2</v>
      </c>
    </row>
    <row r="465" spans="8:11">
      <c r="H465">
        <v>285</v>
      </c>
      <c r="I465">
        <v>0</v>
      </c>
      <c r="J465">
        <v>9.869E-2</v>
      </c>
      <c r="K465">
        <v>0</v>
      </c>
    </row>
    <row r="466" spans="8:11">
      <c r="H466">
        <v>285</v>
      </c>
      <c r="I466">
        <v>3.3899999999999998E-3</v>
      </c>
      <c r="J466">
        <v>4.3729999999999998E-2</v>
      </c>
      <c r="K466">
        <v>7.7420000000000003E-2</v>
      </c>
    </row>
    <row r="467" spans="8:11">
      <c r="H467">
        <v>286</v>
      </c>
      <c r="I467">
        <v>1.24E-3</v>
      </c>
      <c r="J467">
        <v>0.11659</v>
      </c>
      <c r="K467">
        <v>1.065E-2</v>
      </c>
    </row>
    <row r="468" spans="8:11">
      <c r="H468">
        <v>287</v>
      </c>
      <c r="I468">
        <v>5.4400000000000004E-3</v>
      </c>
      <c r="J468">
        <v>0.14648</v>
      </c>
      <c r="K468">
        <v>3.7159999999999999E-2</v>
      </c>
    </row>
    <row r="469" spans="8:11">
      <c r="H469">
        <v>287</v>
      </c>
      <c r="I469">
        <v>2.7799999999999999E-3</v>
      </c>
      <c r="J469">
        <v>0.11051</v>
      </c>
      <c r="K469">
        <v>2.5149999999999999E-2</v>
      </c>
    </row>
    <row r="470" spans="8:11">
      <c r="H470">
        <v>288</v>
      </c>
      <c r="I470">
        <v>5.9000000000000003E-4</v>
      </c>
      <c r="J470">
        <v>0.13741</v>
      </c>
      <c r="K470">
        <v>4.2599999999999999E-3</v>
      </c>
    </row>
    <row r="471" spans="8:11">
      <c r="H471">
        <v>289</v>
      </c>
      <c r="I471">
        <v>5.4400000000000004E-3</v>
      </c>
      <c r="J471">
        <v>0.14296</v>
      </c>
      <c r="K471">
        <v>3.807E-2</v>
      </c>
    </row>
    <row r="472" spans="8:11">
      <c r="H472">
        <v>289</v>
      </c>
      <c r="I472">
        <v>3.2399999999999998E-3</v>
      </c>
      <c r="J472">
        <v>0.20083999999999999</v>
      </c>
      <c r="K472">
        <v>1.6140000000000002E-2</v>
      </c>
    </row>
    <row r="473" spans="8:11">
      <c r="H473">
        <v>290</v>
      </c>
      <c r="I473">
        <v>2.3E-3</v>
      </c>
      <c r="J473">
        <v>0.11726</v>
      </c>
      <c r="K473">
        <v>1.9650000000000001E-2</v>
      </c>
    </row>
    <row r="474" spans="8:11">
      <c r="H474">
        <v>290</v>
      </c>
      <c r="I474">
        <v>8.8999999999999995E-4</v>
      </c>
      <c r="J474">
        <v>0.11641</v>
      </c>
      <c r="K474">
        <v>7.6499999999999997E-3</v>
      </c>
    </row>
    <row r="475" spans="8:11">
      <c r="H475">
        <v>290</v>
      </c>
      <c r="I475">
        <v>1.6100000000000001E-3</v>
      </c>
      <c r="J475">
        <v>9.3390000000000001E-2</v>
      </c>
      <c r="K475">
        <v>1.7239999999999998E-2</v>
      </c>
    </row>
    <row r="476" spans="8:11">
      <c r="H476">
        <v>290</v>
      </c>
      <c r="I476">
        <v>7.9799999999999992E-3</v>
      </c>
      <c r="J476">
        <v>8.7499999999999994E-2</v>
      </c>
      <c r="K476">
        <v>9.1189999999999993E-2</v>
      </c>
    </row>
    <row r="477" spans="8:11">
      <c r="H477">
        <v>291</v>
      </c>
      <c r="I477">
        <v>3.32E-3</v>
      </c>
      <c r="J477">
        <v>0.14058000000000001</v>
      </c>
      <c r="K477">
        <v>2.3599999999999999E-2</v>
      </c>
    </row>
    <row r="478" spans="8:11">
      <c r="H478">
        <v>291</v>
      </c>
      <c r="I478">
        <v>1.132E-2</v>
      </c>
      <c r="J478">
        <v>0.1082</v>
      </c>
      <c r="K478">
        <v>0.10463</v>
      </c>
    </row>
    <row r="479" spans="8:11">
      <c r="H479">
        <v>291</v>
      </c>
      <c r="I479">
        <v>6.6100000000000004E-3</v>
      </c>
      <c r="J479">
        <v>0.15753</v>
      </c>
      <c r="K479">
        <v>4.197E-2</v>
      </c>
    </row>
    <row r="480" spans="8:11">
      <c r="H480">
        <v>292</v>
      </c>
      <c r="I480">
        <v>2.3900000000000002E-3</v>
      </c>
      <c r="J480">
        <v>0.12845000000000001</v>
      </c>
      <c r="K480">
        <v>1.8620000000000001E-2</v>
      </c>
    </row>
    <row r="481" spans="8:11">
      <c r="H481">
        <v>293</v>
      </c>
      <c r="I481">
        <v>4.7000000000000002E-3</v>
      </c>
      <c r="J481">
        <v>8.7499999999999994E-2</v>
      </c>
      <c r="K481">
        <v>5.3699999999999998E-2</v>
      </c>
    </row>
    <row r="482" spans="8:11">
      <c r="H482">
        <v>294</v>
      </c>
      <c r="I482">
        <v>1.1900000000000001E-3</v>
      </c>
      <c r="J482">
        <v>0.11922000000000001</v>
      </c>
      <c r="K482">
        <v>9.9799999999999993E-3</v>
      </c>
    </row>
    <row r="483" spans="8:11">
      <c r="H483">
        <v>295</v>
      </c>
      <c r="I483">
        <v>1.5E-3</v>
      </c>
      <c r="J483">
        <v>0.14924000000000001</v>
      </c>
      <c r="K483">
        <v>1.004E-2</v>
      </c>
    </row>
    <row r="484" spans="8:11">
      <c r="H484">
        <v>295</v>
      </c>
      <c r="I484">
        <v>0</v>
      </c>
      <c r="J484">
        <v>0.14133999999999999</v>
      </c>
      <c r="K484">
        <v>0</v>
      </c>
    </row>
    <row r="485" spans="8:11">
      <c r="H485">
        <v>295</v>
      </c>
      <c r="I485">
        <v>3.6700000000000001E-3</v>
      </c>
      <c r="J485">
        <v>0.13982</v>
      </c>
      <c r="K485">
        <v>2.622E-2</v>
      </c>
    </row>
    <row r="486" spans="8:11">
      <c r="H486">
        <v>296</v>
      </c>
      <c r="I486">
        <v>5.9100000000000003E-3</v>
      </c>
      <c r="J486">
        <v>0.11498</v>
      </c>
      <c r="K486">
        <v>5.1369999999999999E-2</v>
      </c>
    </row>
    <row r="487" spans="8:11">
      <c r="H487">
        <v>297</v>
      </c>
      <c r="I487">
        <v>4.5900000000000003E-3</v>
      </c>
      <c r="J487">
        <v>0.11148</v>
      </c>
      <c r="K487">
        <v>4.1169999999999998E-2</v>
      </c>
    </row>
    <row r="488" spans="8:11">
      <c r="H488">
        <v>298</v>
      </c>
      <c r="I488">
        <v>6.3899999999999998E-3</v>
      </c>
      <c r="J488">
        <v>0.13392000000000001</v>
      </c>
      <c r="K488">
        <v>4.7719999999999999E-2</v>
      </c>
    </row>
    <row r="489" spans="8:11">
      <c r="H489">
        <v>298</v>
      </c>
      <c r="I489">
        <v>0</v>
      </c>
      <c r="J489">
        <v>0.1686</v>
      </c>
      <c r="K489">
        <v>0</v>
      </c>
    </row>
    <row r="490" spans="8:11">
      <c r="H490">
        <v>300</v>
      </c>
      <c r="I490">
        <v>5.8E-4</v>
      </c>
      <c r="J490">
        <v>0.10759000000000001</v>
      </c>
      <c r="K490">
        <v>5.4400000000000004E-3</v>
      </c>
    </row>
    <row r="491" spans="8:11">
      <c r="H491">
        <v>300</v>
      </c>
      <c r="I491">
        <v>3.7599999999999999E-3</v>
      </c>
      <c r="J491">
        <v>0.13908999999999999</v>
      </c>
      <c r="K491">
        <v>2.7040000000000002E-2</v>
      </c>
    </row>
    <row r="492" spans="8:11">
      <c r="H492">
        <v>300</v>
      </c>
      <c r="I492">
        <v>6.9800000000000001E-3</v>
      </c>
      <c r="J492">
        <v>0.12378</v>
      </c>
      <c r="K492">
        <v>5.6399999999999999E-2</v>
      </c>
    </row>
    <row r="493" spans="8:11">
      <c r="H493">
        <v>300</v>
      </c>
      <c r="I493">
        <v>6.7200000000000003E-3</v>
      </c>
      <c r="J493">
        <v>0.13938</v>
      </c>
      <c r="K493">
        <v>4.8189999999999997E-2</v>
      </c>
    </row>
    <row r="494" spans="8:11">
      <c r="H494">
        <v>301</v>
      </c>
      <c r="I494">
        <v>6.4900000000000001E-3</v>
      </c>
      <c r="J494">
        <v>0.11404</v>
      </c>
      <c r="K494">
        <v>5.6930000000000001E-2</v>
      </c>
    </row>
    <row r="495" spans="8:11">
      <c r="H495">
        <v>301</v>
      </c>
      <c r="I495">
        <v>3.5599999999999998E-3</v>
      </c>
      <c r="J495">
        <v>0.15248</v>
      </c>
      <c r="K495">
        <v>2.333E-2</v>
      </c>
    </row>
    <row r="496" spans="8:11">
      <c r="H496">
        <v>303</v>
      </c>
      <c r="I496">
        <v>9.5899999999999996E-3</v>
      </c>
      <c r="J496">
        <v>0.11031000000000001</v>
      </c>
      <c r="K496">
        <v>8.695E-2</v>
      </c>
    </row>
    <row r="497" spans="8:11">
      <c r="H497">
        <v>303</v>
      </c>
      <c r="I497">
        <v>3.49E-3</v>
      </c>
      <c r="J497">
        <v>0.13525999999999999</v>
      </c>
      <c r="K497">
        <v>2.5760000000000002E-2</v>
      </c>
    </row>
    <row r="498" spans="8:11">
      <c r="H498">
        <v>303</v>
      </c>
      <c r="I498">
        <v>5.1200000000000004E-3</v>
      </c>
      <c r="J498">
        <v>9.9739999999999995E-2</v>
      </c>
      <c r="K498">
        <v>5.135E-2</v>
      </c>
    </row>
    <row r="499" spans="8:11">
      <c r="H499">
        <v>303</v>
      </c>
      <c r="I499">
        <v>1.4300000000000001E-3</v>
      </c>
      <c r="J499">
        <v>0.14349999999999999</v>
      </c>
      <c r="K499">
        <v>9.9500000000000005E-3</v>
      </c>
    </row>
    <row r="500" spans="8:11">
      <c r="H500">
        <v>304</v>
      </c>
      <c r="I500">
        <v>5.0899999999999999E-3</v>
      </c>
      <c r="J500">
        <v>8.6540000000000006E-2</v>
      </c>
      <c r="K500">
        <v>5.8779999999999999E-2</v>
      </c>
    </row>
    <row r="501" spans="8:11">
      <c r="H501">
        <v>305</v>
      </c>
      <c r="I501">
        <v>2.0100000000000001E-3</v>
      </c>
      <c r="J501">
        <v>0.12734999999999999</v>
      </c>
      <c r="K501">
        <v>1.5810000000000001E-2</v>
      </c>
    </row>
    <row r="502" spans="8:11">
      <c r="H502">
        <v>305</v>
      </c>
      <c r="I502">
        <v>2.8500000000000001E-3</v>
      </c>
      <c r="J502">
        <v>0.15112</v>
      </c>
      <c r="K502">
        <v>1.883E-2</v>
      </c>
    </row>
    <row r="503" spans="8:11">
      <c r="H503">
        <v>305</v>
      </c>
      <c r="I503">
        <v>1.73E-3</v>
      </c>
      <c r="J503">
        <v>9.5130000000000006E-2</v>
      </c>
      <c r="K503">
        <v>1.8149999999999999E-2</v>
      </c>
    </row>
    <row r="504" spans="8:11">
      <c r="H504">
        <v>308</v>
      </c>
      <c r="I504">
        <v>1.7099999999999999E-3</v>
      </c>
      <c r="J504">
        <v>0.14229</v>
      </c>
      <c r="K504">
        <v>1.205E-2</v>
      </c>
    </row>
    <row r="505" spans="8:11">
      <c r="H505">
        <v>308</v>
      </c>
      <c r="I505">
        <v>4.3299999999999996E-3</v>
      </c>
      <c r="J505">
        <v>0.11083</v>
      </c>
      <c r="K505">
        <v>3.9030000000000002E-2</v>
      </c>
    </row>
    <row r="506" spans="8:11">
      <c r="H506">
        <v>309</v>
      </c>
      <c r="I506">
        <v>4.79E-3</v>
      </c>
      <c r="J506">
        <v>9.5979999999999996E-2</v>
      </c>
      <c r="K506">
        <v>4.9950000000000001E-2</v>
      </c>
    </row>
    <row r="507" spans="8:11">
      <c r="H507">
        <v>309</v>
      </c>
      <c r="I507">
        <v>5.2599999999999999E-3</v>
      </c>
      <c r="J507">
        <v>0.17630999999999999</v>
      </c>
      <c r="K507">
        <v>2.9839999999999998E-2</v>
      </c>
    </row>
    <row r="508" spans="8:11">
      <c r="H508">
        <v>309</v>
      </c>
      <c r="I508">
        <v>1.746E-2</v>
      </c>
      <c r="J508">
        <v>9.0249999999999997E-2</v>
      </c>
      <c r="K508">
        <v>0.19347</v>
      </c>
    </row>
    <row r="509" spans="8:11">
      <c r="H509">
        <v>311</v>
      </c>
      <c r="I509">
        <v>2.14E-3</v>
      </c>
      <c r="J509">
        <v>0.1115</v>
      </c>
      <c r="K509">
        <v>1.9179999999999999E-2</v>
      </c>
    </row>
    <row r="510" spans="8:11">
      <c r="H510">
        <v>311</v>
      </c>
      <c r="I510">
        <v>8.4000000000000003E-4</v>
      </c>
      <c r="J510">
        <v>0.13070000000000001</v>
      </c>
      <c r="K510">
        <v>6.4000000000000003E-3</v>
      </c>
    </row>
    <row r="511" spans="8:11">
      <c r="H511">
        <v>311</v>
      </c>
      <c r="I511">
        <v>6.4999999999999997E-3</v>
      </c>
      <c r="J511">
        <v>0.10959000000000001</v>
      </c>
      <c r="K511">
        <v>5.9339999999999997E-2</v>
      </c>
    </row>
    <row r="512" spans="8:11">
      <c r="H512">
        <v>311</v>
      </c>
      <c r="I512">
        <v>2.0799999999999998E-3</v>
      </c>
      <c r="J512">
        <v>0.10441</v>
      </c>
      <c r="K512">
        <v>1.9949999999999999E-2</v>
      </c>
    </row>
    <row r="513" spans="8:11">
      <c r="H513">
        <v>311</v>
      </c>
      <c r="I513">
        <v>4.2599999999999999E-3</v>
      </c>
      <c r="J513">
        <v>0.11635</v>
      </c>
      <c r="K513">
        <v>3.6569999999999998E-2</v>
      </c>
    </row>
    <row r="514" spans="8:11">
      <c r="H514">
        <v>312</v>
      </c>
      <c r="I514">
        <v>2.0100000000000001E-3</v>
      </c>
      <c r="J514">
        <v>8.5470000000000004E-2</v>
      </c>
      <c r="K514">
        <v>2.3550000000000001E-2</v>
      </c>
    </row>
    <row r="515" spans="8:11">
      <c r="H515">
        <v>313</v>
      </c>
      <c r="I515">
        <v>3.3999999999999998E-3</v>
      </c>
      <c r="J515">
        <v>0.15572</v>
      </c>
      <c r="K515">
        <v>2.1829999999999999E-2</v>
      </c>
    </row>
    <row r="516" spans="8:11">
      <c r="H516">
        <v>313</v>
      </c>
      <c r="I516">
        <v>3.9100000000000003E-3</v>
      </c>
      <c r="J516">
        <v>9.4460000000000002E-2</v>
      </c>
      <c r="K516">
        <v>4.1419999999999998E-2</v>
      </c>
    </row>
    <row r="517" spans="8:11">
      <c r="H517">
        <v>314</v>
      </c>
      <c r="I517">
        <v>0</v>
      </c>
      <c r="J517">
        <v>2.86E-2</v>
      </c>
      <c r="K517">
        <v>0</v>
      </c>
    </row>
    <row r="518" spans="8:11">
      <c r="H518">
        <v>315</v>
      </c>
      <c r="I518">
        <v>5.8599999999999998E-3</v>
      </c>
      <c r="J518">
        <v>0.11065</v>
      </c>
      <c r="K518">
        <v>5.2979999999999999E-2</v>
      </c>
    </row>
    <row r="519" spans="8:11">
      <c r="H519">
        <v>316</v>
      </c>
      <c r="I519">
        <v>4.0699999999999998E-3</v>
      </c>
      <c r="J519">
        <v>9.9790000000000004E-2</v>
      </c>
      <c r="K519">
        <v>4.0750000000000001E-2</v>
      </c>
    </row>
    <row r="520" spans="8:11">
      <c r="H520">
        <v>316</v>
      </c>
      <c r="I520">
        <v>8.1999999999999998E-4</v>
      </c>
      <c r="J520">
        <v>0.12792000000000001</v>
      </c>
      <c r="K520">
        <v>6.4200000000000004E-3</v>
      </c>
    </row>
    <row r="521" spans="8:11">
      <c r="H521">
        <v>316</v>
      </c>
      <c r="I521">
        <v>1.6100000000000001E-3</v>
      </c>
      <c r="J521">
        <v>0.13552</v>
      </c>
      <c r="K521">
        <v>1.188E-2</v>
      </c>
    </row>
    <row r="522" spans="8:11">
      <c r="H522">
        <v>317</v>
      </c>
      <c r="I522">
        <v>0</v>
      </c>
      <c r="J522">
        <v>9.7110000000000002E-2</v>
      </c>
      <c r="K522">
        <v>0</v>
      </c>
    </row>
    <row r="523" spans="8:11">
      <c r="H523">
        <v>317</v>
      </c>
      <c r="I523">
        <v>4.9699999999999996E-3</v>
      </c>
      <c r="J523">
        <v>0.14371</v>
      </c>
      <c r="K523">
        <v>3.4610000000000002E-2</v>
      </c>
    </row>
    <row r="524" spans="8:11">
      <c r="H524">
        <v>318</v>
      </c>
      <c r="I524">
        <v>4.3099999999999996E-3</v>
      </c>
      <c r="J524">
        <v>0.13521</v>
      </c>
      <c r="K524">
        <v>3.184E-2</v>
      </c>
    </row>
    <row r="525" spans="8:11">
      <c r="H525">
        <v>319</v>
      </c>
      <c r="I525">
        <v>5.47E-3</v>
      </c>
      <c r="J525">
        <v>0.05</v>
      </c>
      <c r="K525">
        <v>0.10943</v>
      </c>
    </row>
    <row r="526" spans="8:11">
      <c r="H526">
        <v>319</v>
      </c>
      <c r="I526">
        <v>2.0799999999999998E-3</v>
      </c>
      <c r="J526">
        <v>0.11627999999999999</v>
      </c>
      <c r="K526">
        <v>1.787E-2</v>
      </c>
    </row>
    <row r="527" spans="8:11">
      <c r="H527">
        <v>321</v>
      </c>
      <c r="I527">
        <v>5.0800000000000003E-3</v>
      </c>
      <c r="J527">
        <v>0.11521000000000001</v>
      </c>
      <c r="K527">
        <v>4.4049999999999999E-2</v>
      </c>
    </row>
    <row r="528" spans="8:11">
      <c r="H528">
        <v>321</v>
      </c>
      <c r="I528">
        <v>0</v>
      </c>
      <c r="J528">
        <v>0.12684000000000001</v>
      </c>
      <c r="K528">
        <v>0</v>
      </c>
    </row>
    <row r="529" spans="8:11">
      <c r="H529">
        <v>321</v>
      </c>
      <c r="I529">
        <v>4.3200000000000001E-3</v>
      </c>
      <c r="J529">
        <v>0.11210000000000001</v>
      </c>
      <c r="K529">
        <v>3.8510000000000003E-2</v>
      </c>
    </row>
    <row r="530" spans="8:11">
      <c r="H530">
        <v>322</v>
      </c>
      <c r="I530">
        <v>5.3E-3</v>
      </c>
      <c r="J530">
        <v>0.12816</v>
      </c>
      <c r="K530">
        <v>4.1369999999999997E-2</v>
      </c>
    </row>
    <row r="531" spans="8:11">
      <c r="H531">
        <v>322</v>
      </c>
      <c r="I531">
        <v>2.1099999999999999E-3</v>
      </c>
      <c r="J531">
        <v>0.17849999999999999</v>
      </c>
      <c r="K531">
        <v>1.183E-2</v>
      </c>
    </row>
    <row r="532" spans="8:11">
      <c r="H532">
        <v>323</v>
      </c>
      <c r="I532">
        <v>6.0400000000000002E-3</v>
      </c>
      <c r="J532">
        <v>0.11849999999999999</v>
      </c>
      <c r="K532">
        <v>5.0970000000000001E-2</v>
      </c>
    </row>
    <row r="533" spans="8:11">
      <c r="H533">
        <v>323</v>
      </c>
      <c r="I533">
        <v>4.5900000000000003E-3</v>
      </c>
      <c r="J533">
        <v>9.5100000000000004E-2</v>
      </c>
      <c r="K533">
        <v>4.8230000000000002E-2</v>
      </c>
    </row>
    <row r="534" spans="8:11">
      <c r="H534">
        <v>324</v>
      </c>
      <c r="I534">
        <v>2.7399999999999998E-3</v>
      </c>
      <c r="J534">
        <v>0.11253000000000001</v>
      </c>
      <c r="K534">
        <v>2.4309999999999998E-2</v>
      </c>
    </row>
    <row r="535" spans="8:11">
      <c r="H535">
        <v>324</v>
      </c>
      <c r="I535">
        <v>3.9899999999999996E-3</v>
      </c>
      <c r="J535">
        <v>0.12021999999999999</v>
      </c>
      <c r="K535">
        <v>3.3210000000000003E-2</v>
      </c>
    </row>
    <row r="536" spans="8:11">
      <c r="H536">
        <v>325</v>
      </c>
      <c r="I536">
        <v>1.08E-3</v>
      </c>
      <c r="J536">
        <v>9.5820000000000002E-2</v>
      </c>
      <c r="K536">
        <v>1.128E-2</v>
      </c>
    </row>
    <row r="537" spans="8:11">
      <c r="H537">
        <v>325</v>
      </c>
      <c r="I537">
        <v>3.46E-3</v>
      </c>
      <c r="J537">
        <v>0.1135</v>
      </c>
      <c r="K537">
        <v>3.0519999999999999E-2</v>
      </c>
    </row>
    <row r="538" spans="8:11">
      <c r="H538">
        <v>325</v>
      </c>
      <c r="I538">
        <v>7.6400000000000001E-3</v>
      </c>
      <c r="J538">
        <v>6.3479999999999995E-2</v>
      </c>
      <c r="K538">
        <v>0.12032</v>
      </c>
    </row>
    <row r="539" spans="8:11">
      <c r="H539">
        <v>325</v>
      </c>
      <c r="I539">
        <v>7.5399999999999998E-3</v>
      </c>
      <c r="J539">
        <v>0.13274</v>
      </c>
      <c r="K539">
        <v>5.6820000000000002E-2</v>
      </c>
    </row>
    <row r="540" spans="8:11">
      <c r="H540">
        <v>328</v>
      </c>
      <c r="I540">
        <v>4.3899999999999998E-3</v>
      </c>
      <c r="J540">
        <v>0.17021</v>
      </c>
      <c r="K540">
        <v>2.5780000000000001E-2</v>
      </c>
    </row>
    <row r="541" spans="8:11">
      <c r="H541">
        <v>328</v>
      </c>
      <c r="I541">
        <v>6.1000000000000004E-3</v>
      </c>
      <c r="J541">
        <v>0.10489</v>
      </c>
      <c r="K541">
        <v>5.8110000000000002E-2</v>
      </c>
    </row>
    <row r="542" spans="8:11">
      <c r="H542">
        <v>329</v>
      </c>
      <c r="I542">
        <v>2.5699999999999998E-3</v>
      </c>
      <c r="J542">
        <v>8.4669999999999995E-2</v>
      </c>
      <c r="K542">
        <v>3.032E-2</v>
      </c>
    </row>
    <row r="543" spans="8:11">
      <c r="H543">
        <v>329</v>
      </c>
      <c r="I543">
        <v>1.3469999999999999E-2</v>
      </c>
      <c r="J543">
        <v>0.11219999999999999</v>
      </c>
      <c r="K543">
        <v>0.12003</v>
      </c>
    </row>
    <row r="544" spans="8:11">
      <c r="H544">
        <v>329</v>
      </c>
      <c r="I544">
        <v>1.9300000000000001E-3</v>
      </c>
      <c r="J544">
        <v>0.15895999999999999</v>
      </c>
      <c r="K544">
        <v>1.2160000000000001E-2</v>
      </c>
    </row>
    <row r="545" spans="8:11">
      <c r="H545">
        <v>329</v>
      </c>
      <c r="I545">
        <v>1.9300000000000001E-3</v>
      </c>
      <c r="J545">
        <v>0.15895999999999999</v>
      </c>
      <c r="K545">
        <v>1.2160000000000001E-2</v>
      </c>
    </row>
    <row r="546" spans="8:11">
      <c r="H546">
        <v>329</v>
      </c>
      <c r="I546">
        <v>1.9300000000000001E-3</v>
      </c>
      <c r="J546">
        <v>0.15895999999999999</v>
      </c>
      <c r="K546">
        <v>1.2160000000000001E-2</v>
      </c>
    </row>
    <row r="547" spans="8:11">
      <c r="H547">
        <v>329</v>
      </c>
      <c r="I547">
        <v>1.8400000000000001E-3</v>
      </c>
      <c r="J547">
        <v>0.13014000000000001</v>
      </c>
      <c r="K547">
        <v>1.4149999999999999E-2</v>
      </c>
    </row>
    <row r="548" spans="8:11">
      <c r="H548">
        <v>330</v>
      </c>
      <c r="I548">
        <v>3.31E-3</v>
      </c>
      <c r="J548">
        <v>0.12570000000000001</v>
      </c>
      <c r="K548">
        <v>2.6339999999999999E-2</v>
      </c>
    </row>
    <row r="549" spans="8:11">
      <c r="H549">
        <v>331</v>
      </c>
      <c r="I549">
        <v>1.1650000000000001E-2</v>
      </c>
      <c r="J549">
        <v>8.3030000000000007E-2</v>
      </c>
      <c r="K549">
        <v>0.14030999999999999</v>
      </c>
    </row>
    <row r="550" spans="8:11">
      <c r="H550">
        <v>332</v>
      </c>
      <c r="I550">
        <v>0</v>
      </c>
      <c r="J550">
        <v>0.15806000000000001</v>
      </c>
      <c r="K550">
        <v>0</v>
      </c>
    </row>
    <row r="551" spans="8:11">
      <c r="H551">
        <v>333</v>
      </c>
      <c r="I551">
        <v>3.2399999999999998E-3</v>
      </c>
      <c r="J551">
        <v>0.10847</v>
      </c>
      <c r="K551">
        <v>2.9819999999999999E-2</v>
      </c>
    </row>
    <row r="552" spans="8:11">
      <c r="H552">
        <v>333</v>
      </c>
      <c r="I552">
        <v>4.7499999999999999E-3</v>
      </c>
      <c r="J552">
        <v>0.11343</v>
      </c>
      <c r="K552">
        <v>4.1860000000000001E-2</v>
      </c>
    </row>
    <row r="553" spans="8:11">
      <c r="H553">
        <v>333</v>
      </c>
      <c r="I553">
        <v>1.58E-3</v>
      </c>
      <c r="J553">
        <v>9.3310000000000004E-2</v>
      </c>
      <c r="K553">
        <v>1.694E-2</v>
      </c>
    </row>
    <row r="554" spans="8:11">
      <c r="H554">
        <v>334</v>
      </c>
      <c r="I554">
        <v>3.8E-3</v>
      </c>
      <c r="J554">
        <v>0.13131000000000001</v>
      </c>
      <c r="K554">
        <v>2.894E-2</v>
      </c>
    </row>
    <row r="555" spans="8:11">
      <c r="H555">
        <v>335</v>
      </c>
      <c r="I555">
        <v>3.3E-3</v>
      </c>
      <c r="J555">
        <v>0.16428999999999999</v>
      </c>
      <c r="K555">
        <v>2.0109999999999999E-2</v>
      </c>
    </row>
    <row r="556" spans="8:11">
      <c r="H556">
        <v>335</v>
      </c>
      <c r="I556">
        <v>0</v>
      </c>
      <c r="J556">
        <v>2.9760000000000002E-2</v>
      </c>
      <c r="K556">
        <v>0</v>
      </c>
    </row>
    <row r="557" spans="8:11">
      <c r="H557">
        <v>337</v>
      </c>
      <c r="I557">
        <v>2.0999999999999999E-3</v>
      </c>
      <c r="J557">
        <v>0.16111</v>
      </c>
      <c r="K557">
        <v>1.302E-2</v>
      </c>
    </row>
    <row r="558" spans="8:11">
      <c r="H558">
        <v>338</v>
      </c>
      <c r="I558">
        <v>7.6000000000000004E-4</v>
      </c>
      <c r="J558">
        <v>0.14695</v>
      </c>
      <c r="K558">
        <v>5.1599999999999997E-3</v>
      </c>
    </row>
    <row r="559" spans="8:11">
      <c r="H559">
        <v>338</v>
      </c>
      <c r="I559">
        <v>3.8999999999999998E-3</v>
      </c>
      <c r="J559">
        <v>0.1336</v>
      </c>
      <c r="K559">
        <v>2.921E-2</v>
      </c>
    </row>
    <row r="560" spans="8:11">
      <c r="H560">
        <v>340</v>
      </c>
      <c r="I560">
        <v>1.5299999999999999E-3</v>
      </c>
      <c r="J560">
        <v>6.5129999999999993E-2</v>
      </c>
      <c r="K560">
        <v>2.3470000000000001E-2</v>
      </c>
    </row>
    <row r="561" spans="8:11">
      <c r="H561">
        <v>341</v>
      </c>
      <c r="I561">
        <v>6.0699999999999999E-3</v>
      </c>
      <c r="J561">
        <v>0.13511999999999999</v>
      </c>
      <c r="K561">
        <v>4.4929999999999998E-2</v>
      </c>
    </row>
    <row r="562" spans="8:11">
      <c r="H562">
        <v>341</v>
      </c>
      <c r="I562">
        <v>5.4599999999999996E-3</v>
      </c>
      <c r="J562">
        <v>0.14025000000000001</v>
      </c>
      <c r="K562">
        <v>3.8949999999999999E-2</v>
      </c>
    </row>
    <row r="563" spans="8:11">
      <c r="H563">
        <v>342</v>
      </c>
      <c r="I563">
        <v>1.9E-3</v>
      </c>
      <c r="J563">
        <v>0.14532999999999999</v>
      </c>
      <c r="K563">
        <v>1.307E-2</v>
      </c>
    </row>
    <row r="564" spans="8:11">
      <c r="H564">
        <v>343</v>
      </c>
      <c r="I564">
        <v>1.2600000000000001E-3</v>
      </c>
      <c r="J564">
        <v>0.14601</v>
      </c>
      <c r="K564">
        <v>8.6199999999999992E-3</v>
      </c>
    </row>
    <row r="565" spans="8:11">
      <c r="H565">
        <v>344</v>
      </c>
      <c r="I565">
        <v>3.49E-3</v>
      </c>
      <c r="J565">
        <v>0.15578</v>
      </c>
      <c r="K565">
        <v>2.2409999999999999E-2</v>
      </c>
    </row>
    <row r="566" spans="8:11">
      <c r="H566">
        <v>346</v>
      </c>
      <c r="I566">
        <v>5.0000000000000001E-3</v>
      </c>
      <c r="J566">
        <v>9.0639999999999998E-2</v>
      </c>
      <c r="K566">
        <v>5.5169999999999997E-2</v>
      </c>
    </row>
    <row r="567" spans="8:11">
      <c r="H567">
        <v>347</v>
      </c>
      <c r="I567">
        <v>5.5700000000000003E-3</v>
      </c>
      <c r="J567">
        <v>0.16344</v>
      </c>
      <c r="K567">
        <v>3.4049999999999997E-2</v>
      </c>
    </row>
    <row r="568" spans="8:11">
      <c r="H568">
        <v>348</v>
      </c>
      <c r="I568">
        <v>3.2499999999999999E-3</v>
      </c>
      <c r="J568">
        <v>9.887E-2</v>
      </c>
      <c r="K568">
        <v>3.2899999999999999E-2</v>
      </c>
    </row>
    <row r="569" spans="8:11">
      <c r="H569">
        <v>348</v>
      </c>
      <c r="I569">
        <v>1.74E-3</v>
      </c>
      <c r="J569">
        <v>0.15013000000000001</v>
      </c>
      <c r="K569">
        <v>1.159E-2</v>
      </c>
    </row>
    <row r="570" spans="8:11">
      <c r="H570">
        <v>353</v>
      </c>
      <c r="I570">
        <v>8.0099999999999998E-3</v>
      </c>
      <c r="J570">
        <v>0.12711</v>
      </c>
      <c r="K570">
        <v>6.3039999999999999E-2</v>
      </c>
    </row>
    <row r="571" spans="8:11">
      <c r="H571">
        <v>353</v>
      </c>
      <c r="I571">
        <v>8.3000000000000001E-3</v>
      </c>
      <c r="J571">
        <v>0.10811</v>
      </c>
      <c r="K571">
        <v>7.6749999999999999E-2</v>
      </c>
    </row>
    <row r="572" spans="8:11">
      <c r="H572">
        <v>354</v>
      </c>
      <c r="I572">
        <v>5.0400000000000002E-3</v>
      </c>
      <c r="J572">
        <v>0.12626000000000001</v>
      </c>
      <c r="K572">
        <v>3.9879999999999999E-2</v>
      </c>
    </row>
    <row r="573" spans="8:11">
      <c r="H573">
        <v>356</v>
      </c>
      <c r="I573">
        <v>5.0600000000000003E-3</v>
      </c>
      <c r="J573">
        <v>0.12447</v>
      </c>
      <c r="K573">
        <v>4.0629999999999999E-2</v>
      </c>
    </row>
    <row r="574" spans="8:11">
      <c r="H574">
        <v>356</v>
      </c>
      <c r="I574">
        <v>9.7000000000000005E-4</v>
      </c>
      <c r="J574">
        <v>0.11971999999999999</v>
      </c>
      <c r="K574">
        <v>8.1300000000000001E-3</v>
      </c>
    </row>
    <row r="575" spans="8:11">
      <c r="H575">
        <v>358</v>
      </c>
      <c r="I575">
        <v>3.2599999999999999E-3</v>
      </c>
      <c r="J575">
        <v>0.13578999999999999</v>
      </c>
      <c r="K575">
        <v>2.3980000000000001E-2</v>
      </c>
    </row>
    <row r="576" spans="8:11">
      <c r="H576">
        <v>358</v>
      </c>
      <c r="I576">
        <v>0</v>
      </c>
      <c r="J576">
        <v>0.14756</v>
      </c>
      <c r="K576">
        <v>0</v>
      </c>
    </row>
    <row r="577" spans="8:11">
      <c r="H577">
        <v>360</v>
      </c>
      <c r="I577">
        <v>1.1999999999999999E-3</v>
      </c>
      <c r="J577">
        <v>0.13439999999999999</v>
      </c>
      <c r="K577">
        <v>8.94E-3</v>
      </c>
    </row>
    <row r="578" spans="8:11">
      <c r="H578">
        <v>363</v>
      </c>
      <c r="I578">
        <v>3.7799999999999999E-3</v>
      </c>
      <c r="J578">
        <v>0.14835000000000001</v>
      </c>
      <c r="K578">
        <v>2.546E-2</v>
      </c>
    </row>
    <row r="579" spans="8:11">
      <c r="H579">
        <v>363</v>
      </c>
      <c r="I579">
        <v>1.75E-3</v>
      </c>
      <c r="J579">
        <v>0.15382000000000001</v>
      </c>
      <c r="K579">
        <v>1.1379999999999999E-2</v>
      </c>
    </row>
    <row r="580" spans="8:11">
      <c r="H580">
        <v>363</v>
      </c>
      <c r="I580">
        <v>7.2500000000000004E-3</v>
      </c>
      <c r="J580">
        <v>0.10238</v>
      </c>
      <c r="K580">
        <v>7.0849999999999996E-2</v>
      </c>
    </row>
    <row r="581" spans="8:11">
      <c r="H581">
        <v>363</v>
      </c>
      <c r="I581">
        <v>4.9699999999999996E-3</v>
      </c>
      <c r="J581">
        <v>0.13925999999999999</v>
      </c>
      <c r="K581">
        <v>3.5650000000000001E-2</v>
      </c>
    </row>
    <row r="582" spans="8:11">
      <c r="H582">
        <v>364</v>
      </c>
      <c r="I582">
        <v>3.5999999999999999E-3</v>
      </c>
      <c r="J582">
        <v>0.11700000000000001</v>
      </c>
      <c r="K582">
        <v>3.074E-2</v>
      </c>
    </row>
    <row r="583" spans="8:11">
      <c r="H583">
        <v>366</v>
      </c>
      <c r="I583">
        <v>1.1800000000000001E-3</v>
      </c>
      <c r="J583">
        <v>9.9849999999999994E-2</v>
      </c>
      <c r="K583">
        <v>1.18E-2</v>
      </c>
    </row>
    <row r="584" spans="8:11">
      <c r="H584">
        <v>366</v>
      </c>
      <c r="I584">
        <v>9.7000000000000005E-4</v>
      </c>
      <c r="J584">
        <v>0.14094999999999999</v>
      </c>
      <c r="K584">
        <v>6.8599999999999998E-3</v>
      </c>
    </row>
    <row r="585" spans="8:11">
      <c r="H585">
        <v>370</v>
      </c>
      <c r="I585">
        <v>3.5200000000000001E-3</v>
      </c>
      <c r="J585">
        <v>0.10435999999999999</v>
      </c>
      <c r="K585">
        <v>3.3700000000000001E-2</v>
      </c>
    </row>
    <row r="586" spans="8:11">
      <c r="H586">
        <v>371</v>
      </c>
      <c r="I586">
        <v>0</v>
      </c>
      <c r="J586">
        <v>8.3790000000000003E-2</v>
      </c>
      <c r="K586">
        <v>0</v>
      </c>
    </row>
    <row r="587" spans="8:11">
      <c r="H587">
        <v>371</v>
      </c>
      <c r="I587">
        <v>0</v>
      </c>
      <c r="J587">
        <v>0.10491</v>
      </c>
      <c r="K587">
        <v>0</v>
      </c>
    </row>
    <row r="588" spans="8:11">
      <c r="H588">
        <v>371</v>
      </c>
      <c r="I588">
        <v>5.11E-3</v>
      </c>
      <c r="J588">
        <v>0.14968999999999999</v>
      </c>
      <c r="K588">
        <v>3.4160000000000003E-2</v>
      </c>
    </row>
    <row r="589" spans="8:11">
      <c r="H589">
        <v>372</v>
      </c>
      <c r="I589">
        <v>5.6899999999999997E-3</v>
      </c>
      <c r="J589">
        <v>0.1484</v>
      </c>
      <c r="K589">
        <v>3.8379999999999997E-2</v>
      </c>
    </row>
    <row r="590" spans="8:11">
      <c r="H590">
        <v>375</v>
      </c>
      <c r="I590">
        <v>2.3E-3</v>
      </c>
      <c r="J590">
        <v>0.12848000000000001</v>
      </c>
      <c r="K590">
        <v>1.789E-2</v>
      </c>
    </row>
    <row r="591" spans="8:11">
      <c r="H591">
        <v>375</v>
      </c>
      <c r="I591">
        <v>2.3E-3</v>
      </c>
      <c r="J591">
        <v>0.12848000000000001</v>
      </c>
      <c r="K591">
        <v>1.789E-2</v>
      </c>
    </row>
    <row r="592" spans="8:11">
      <c r="H592">
        <v>378</v>
      </c>
      <c r="I592">
        <v>1.1199999999999999E-3</v>
      </c>
      <c r="J592">
        <v>8.8069999999999996E-2</v>
      </c>
      <c r="K592">
        <v>1.274E-2</v>
      </c>
    </row>
    <row r="593" spans="8:11">
      <c r="H593">
        <v>380</v>
      </c>
      <c r="I593">
        <v>1.566E-2</v>
      </c>
      <c r="J593">
        <v>0.11611</v>
      </c>
      <c r="K593">
        <v>0.13489999999999999</v>
      </c>
    </row>
    <row r="594" spans="8:11">
      <c r="H594">
        <v>381</v>
      </c>
      <c r="I594">
        <v>5.6999999999999998E-4</v>
      </c>
      <c r="J594">
        <v>0.14574000000000001</v>
      </c>
      <c r="K594">
        <v>3.8800000000000002E-3</v>
      </c>
    </row>
    <row r="595" spans="8:11">
      <c r="H595">
        <v>382</v>
      </c>
      <c r="I595">
        <v>5.3699999999999998E-3</v>
      </c>
      <c r="J595">
        <v>0.11601</v>
      </c>
      <c r="K595">
        <v>4.6309999999999997E-2</v>
      </c>
    </row>
    <row r="596" spans="8:11">
      <c r="H596">
        <v>382</v>
      </c>
      <c r="I596">
        <v>2.0500000000000002E-3</v>
      </c>
      <c r="J596">
        <v>0.12808</v>
      </c>
      <c r="K596">
        <v>1.6039999999999999E-2</v>
      </c>
    </row>
    <row r="597" spans="8:11">
      <c r="H597">
        <v>382</v>
      </c>
      <c r="I597">
        <v>1.58E-3</v>
      </c>
      <c r="J597">
        <v>0.11992</v>
      </c>
      <c r="K597">
        <v>1.32E-2</v>
      </c>
    </row>
    <row r="598" spans="8:11">
      <c r="H598">
        <v>383</v>
      </c>
      <c r="I598">
        <v>4.1700000000000001E-3</v>
      </c>
      <c r="J598">
        <v>0.12127</v>
      </c>
      <c r="K598">
        <v>3.4380000000000001E-2</v>
      </c>
    </row>
    <row r="599" spans="8:11">
      <c r="H599">
        <v>385</v>
      </c>
      <c r="I599">
        <v>4.4200000000000003E-3</v>
      </c>
      <c r="J599">
        <v>0.1154</v>
      </c>
      <c r="K599">
        <v>3.8309999999999997E-2</v>
      </c>
    </row>
    <row r="600" spans="8:11">
      <c r="H600">
        <v>385</v>
      </c>
      <c r="I600">
        <v>1.33E-3</v>
      </c>
      <c r="J600">
        <v>0.13061</v>
      </c>
      <c r="K600">
        <v>1.0160000000000001E-2</v>
      </c>
    </row>
    <row r="601" spans="8:11">
      <c r="H601">
        <v>386</v>
      </c>
      <c r="I601">
        <v>1.171E-2</v>
      </c>
      <c r="J601">
        <v>0.10724</v>
      </c>
      <c r="K601">
        <v>0.10920000000000001</v>
      </c>
    </row>
    <row r="602" spans="8:11">
      <c r="H602">
        <v>386</v>
      </c>
      <c r="I602">
        <v>2.8400000000000001E-3</v>
      </c>
      <c r="J602">
        <v>0.14498</v>
      </c>
      <c r="K602">
        <v>1.9560000000000001E-2</v>
      </c>
    </row>
    <row r="603" spans="8:11">
      <c r="H603">
        <v>390</v>
      </c>
      <c r="I603">
        <v>9.5499999999999995E-3</v>
      </c>
      <c r="J603">
        <v>0.12178</v>
      </c>
      <c r="K603">
        <v>7.8450000000000006E-2</v>
      </c>
    </row>
    <row r="604" spans="8:11">
      <c r="H604">
        <v>390</v>
      </c>
      <c r="I604">
        <v>1.1100000000000001E-3</v>
      </c>
      <c r="J604">
        <v>0.16689999999999999</v>
      </c>
      <c r="K604">
        <v>6.6800000000000002E-3</v>
      </c>
    </row>
    <row r="605" spans="8:11">
      <c r="H605">
        <v>392</v>
      </c>
      <c r="I605">
        <v>1.6100000000000001E-3</v>
      </c>
      <c r="J605">
        <v>0.13449</v>
      </c>
      <c r="K605">
        <v>1.1990000000000001E-2</v>
      </c>
    </row>
    <row r="606" spans="8:11">
      <c r="H606">
        <v>392</v>
      </c>
      <c r="I606">
        <v>2.2699999999999999E-3</v>
      </c>
      <c r="J606">
        <v>8.5620000000000002E-2</v>
      </c>
      <c r="K606">
        <v>2.6530000000000001E-2</v>
      </c>
    </row>
    <row r="607" spans="8:11">
      <c r="H607">
        <v>393</v>
      </c>
      <c r="I607">
        <v>1.7600000000000001E-3</v>
      </c>
      <c r="J607">
        <v>9.7970000000000002E-2</v>
      </c>
      <c r="K607">
        <v>1.7930000000000001E-2</v>
      </c>
    </row>
    <row r="608" spans="8:11">
      <c r="H608">
        <v>394</v>
      </c>
      <c r="I608">
        <v>2.8800000000000002E-3</v>
      </c>
      <c r="J608">
        <v>5.5509999999999997E-2</v>
      </c>
      <c r="K608">
        <v>5.1909999999999998E-2</v>
      </c>
    </row>
    <row r="609" spans="8:11">
      <c r="H609">
        <v>395</v>
      </c>
      <c r="I609">
        <v>0</v>
      </c>
      <c r="J609">
        <v>0.13519999999999999</v>
      </c>
      <c r="K609">
        <v>0</v>
      </c>
    </row>
    <row r="610" spans="8:11">
      <c r="H610">
        <v>396</v>
      </c>
      <c r="I610">
        <v>3.0999999999999999E-3</v>
      </c>
      <c r="J610">
        <v>3.3599999999999998E-2</v>
      </c>
      <c r="K610">
        <v>9.2310000000000003E-2</v>
      </c>
    </row>
    <row r="611" spans="8:11">
      <c r="H611">
        <v>398</v>
      </c>
      <c r="I611">
        <v>3.82E-3</v>
      </c>
      <c r="J611">
        <v>0.12579000000000001</v>
      </c>
      <c r="K611">
        <v>3.04E-2</v>
      </c>
    </row>
    <row r="612" spans="8:11">
      <c r="H612">
        <v>398</v>
      </c>
      <c r="I612">
        <v>7.7400000000000004E-3</v>
      </c>
      <c r="J612">
        <v>0.10518</v>
      </c>
      <c r="K612">
        <v>7.3580000000000007E-2</v>
      </c>
    </row>
    <row r="613" spans="8:11">
      <c r="H613">
        <v>399</v>
      </c>
      <c r="I613">
        <v>1.635E-2</v>
      </c>
      <c r="J613">
        <v>7.7729999999999994E-2</v>
      </c>
      <c r="K613">
        <v>0.21038000000000001</v>
      </c>
    </row>
    <row r="614" spans="8:11">
      <c r="H614">
        <v>400</v>
      </c>
      <c r="I614">
        <v>4.4000000000000002E-4</v>
      </c>
      <c r="J614">
        <v>0.11039</v>
      </c>
      <c r="K614">
        <v>3.9699999999999996E-3</v>
      </c>
    </row>
    <row r="615" spans="8:11">
      <c r="H615">
        <v>403</v>
      </c>
      <c r="I615">
        <v>1.73E-3</v>
      </c>
      <c r="J615">
        <v>0.15941</v>
      </c>
      <c r="K615">
        <v>1.0840000000000001E-2</v>
      </c>
    </row>
    <row r="616" spans="8:11">
      <c r="H616">
        <v>404</v>
      </c>
      <c r="I616">
        <v>3.32E-3</v>
      </c>
      <c r="J616">
        <v>0.11405</v>
      </c>
      <c r="K616">
        <v>2.913E-2</v>
      </c>
    </row>
    <row r="617" spans="8:11">
      <c r="H617">
        <v>406</v>
      </c>
      <c r="I617">
        <v>4.3099999999999996E-3</v>
      </c>
      <c r="J617">
        <v>9.9559999999999996E-2</v>
      </c>
      <c r="K617">
        <v>4.3279999999999999E-2</v>
      </c>
    </row>
    <row r="618" spans="8:11">
      <c r="H618">
        <v>409</v>
      </c>
      <c r="I618">
        <v>3.16E-3</v>
      </c>
      <c r="J618">
        <v>0.12012</v>
      </c>
      <c r="K618">
        <v>2.6339999999999999E-2</v>
      </c>
    </row>
    <row r="619" spans="8:11">
      <c r="H619">
        <v>411</v>
      </c>
      <c r="I619">
        <v>3.0999999999999999E-3</v>
      </c>
      <c r="J619">
        <v>0.15894</v>
      </c>
      <c r="K619">
        <v>1.9519999999999999E-2</v>
      </c>
    </row>
    <row r="620" spans="8:11">
      <c r="H620">
        <v>412</v>
      </c>
      <c r="I620">
        <v>6.1599999999999997E-3</v>
      </c>
      <c r="J620">
        <v>0.12701999999999999</v>
      </c>
      <c r="K620">
        <v>4.8480000000000002E-2</v>
      </c>
    </row>
    <row r="621" spans="8:11">
      <c r="H621">
        <v>415</v>
      </c>
      <c r="I621">
        <v>3.3700000000000002E-3</v>
      </c>
      <c r="J621">
        <v>0.12903999999999999</v>
      </c>
      <c r="K621">
        <v>2.615E-2</v>
      </c>
    </row>
    <row r="622" spans="8:11">
      <c r="H622">
        <v>420</v>
      </c>
      <c r="I622">
        <v>6.2E-4</v>
      </c>
      <c r="J622">
        <v>0.12155000000000001</v>
      </c>
      <c r="K622">
        <v>5.0600000000000003E-3</v>
      </c>
    </row>
    <row r="623" spans="8:11">
      <c r="H623">
        <v>421</v>
      </c>
      <c r="I623">
        <v>2.7100000000000002E-3</v>
      </c>
      <c r="J623">
        <v>0.13556000000000001</v>
      </c>
      <c r="K623">
        <v>1.9970000000000002E-2</v>
      </c>
    </row>
    <row r="624" spans="8:11">
      <c r="H624">
        <v>421</v>
      </c>
      <c r="I624">
        <v>3.1099999999999999E-3</v>
      </c>
      <c r="J624">
        <v>0.14271</v>
      </c>
      <c r="K624">
        <v>2.1760000000000002E-2</v>
      </c>
    </row>
    <row r="625" spans="8:11">
      <c r="H625">
        <v>422</v>
      </c>
      <c r="I625">
        <v>1.0410000000000001E-2</v>
      </c>
      <c r="J625">
        <v>0.17558000000000001</v>
      </c>
      <c r="K625">
        <v>5.9299999999999999E-2</v>
      </c>
    </row>
    <row r="626" spans="8:11">
      <c r="H626">
        <v>422</v>
      </c>
      <c r="I626">
        <v>6.5500000000000003E-3</v>
      </c>
      <c r="J626">
        <v>0.13699</v>
      </c>
      <c r="K626">
        <v>4.7840000000000001E-2</v>
      </c>
    </row>
    <row r="627" spans="8:11">
      <c r="H627">
        <v>422</v>
      </c>
      <c r="I627">
        <v>3.5500000000000002E-3</v>
      </c>
      <c r="J627">
        <v>0.14466000000000001</v>
      </c>
      <c r="K627">
        <v>2.453E-2</v>
      </c>
    </row>
    <row r="628" spans="8:11">
      <c r="H628">
        <v>423</v>
      </c>
      <c r="I628">
        <v>6.1199999999999996E-3</v>
      </c>
      <c r="J628">
        <v>8.3049999999999999E-2</v>
      </c>
      <c r="K628">
        <v>7.3649999999999993E-2</v>
      </c>
    </row>
    <row r="629" spans="8:11">
      <c r="H629">
        <v>423</v>
      </c>
      <c r="I629">
        <v>3.0899999999999999E-3</v>
      </c>
      <c r="J629">
        <v>0.10992</v>
      </c>
      <c r="K629">
        <v>2.8080000000000001E-2</v>
      </c>
    </row>
    <row r="630" spans="8:11">
      <c r="H630">
        <v>424</v>
      </c>
      <c r="I630">
        <v>7.6699999999999997E-3</v>
      </c>
      <c r="J630">
        <v>0.13622999999999999</v>
      </c>
      <c r="K630">
        <v>5.6309999999999999E-2</v>
      </c>
    </row>
    <row r="631" spans="8:11">
      <c r="H631">
        <v>424</v>
      </c>
      <c r="I631">
        <v>4.64E-3</v>
      </c>
      <c r="J631">
        <v>7.9329999999999998E-2</v>
      </c>
      <c r="K631">
        <v>5.8549999999999998E-2</v>
      </c>
    </row>
    <row r="632" spans="8:11">
      <c r="H632">
        <v>427</v>
      </c>
      <c r="I632">
        <v>2.5600000000000002E-3</v>
      </c>
      <c r="J632">
        <v>0.12126000000000001</v>
      </c>
      <c r="K632">
        <v>2.111E-2</v>
      </c>
    </row>
    <row r="633" spans="8:11">
      <c r="H633">
        <v>427</v>
      </c>
      <c r="I633">
        <v>0</v>
      </c>
      <c r="J633">
        <v>0.14455999999999999</v>
      </c>
      <c r="K633">
        <v>0</v>
      </c>
    </row>
    <row r="634" spans="8:11">
      <c r="H634">
        <v>428</v>
      </c>
      <c r="I634">
        <v>4.9800000000000001E-3</v>
      </c>
      <c r="J634">
        <v>0.13114999999999999</v>
      </c>
      <c r="K634">
        <v>3.798E-2</v>
      </c>
    </row>
    <row r="635" spans="8:11">
      <c r="H635">
        <v>428</v>
      </c>
      <c r="I635">
        <v>3.5000000000000001E-3</v>
      </c>
      <c r="J635">
        <v>0.15268000000000001</v>
      </c>
      <c r="K635">
        <v>2.2939999999999999E-2</v>
      </c>
    </row>
    <row r="636" spans="8:11">
      <c r="H636">
        <v>428</v>
      </c>
      <c r="I636">
        <v>6.1199999999999996E-3</v>
      </c>
      <c r="J636">
        <v>0.15007999999999999</v>
      </c>
      <c r="K636">
        <v>4.0809999999999999E-2</v>
      </c>
    </row>
    <row r="637" spans="8:11">
      <c r="H637">
        <v>429</v>
      </c>
      <c r="I637">
        <v>1.33E-3</v>
      </c>
      <c r="J637">
        <v>0.15157999999999999</v>
      </c>
      <c r="K637">
        <v>8.7500000000000008E-3</v>
      </c>
    </row>
    <row r="638" spans="8:11">
      <c r="H638">
        <v>430</v>
      </c>
      <c r="I638">
        <v>4.2399999999999998E-3</v>
      </c>
      <c r="J638">
        <v>0.14285</v>
      </c>
      <c r="K638">
        <v>2.9700000000000001E-2</v>
      </c>
    </row>
    <row r="639" spans="8:11">
      <c r="H639">
        <v>430</v>
      </c>
      <c r="I639">
        <v>4.6899999999999997E-3</v>
      </c>
      <c r="J639">
        <v>6.7250000000000004E-2</v>
      </c>
      <c r="K639">
        <v>6.9779999999999995E-2</v>
      </c>
    </row>
    <row r="640" spans="8:11">
      <c r="H640">
        <v>430</v>
      </c>
      <c r="I640">
        <v>3.0799999999999998E-3</v>
      </c>
      <c r="J640">
        <v>0.12786</v>
      </c>
      <c r="K640">
        <v>2.4060000000000002E-2</v>
      </c>
    </row>
    <row r="641" spans="8:11">
      <c r="H641">
        <v>431</v>
      </c>
      <c r="I641">
        <v>2.8500000000000001E-3</v>
      </c>
      <c r="J641">
        <v>3.986E-2</v>
      </c>
      <c r="K641">
        <v>7.1609999999999993E-2</v>
      </c>
    </row>
    <row r="642" spans="8:11">
      <c r="H642">
        <v>431</v>
      </c>
      <c r="I642">
        <v>2.2000000000000001E-3</v>
      </c>
      <c r="J642">
        <v>0.16206000000000001</v>
      </c>
      <c r="K642">
        <v>1.359E-2</v>
      </c>
    </row>
    <row r="643" spans="8:11">
      <c r="H643">
        <v>431</v>
      </c>
      <c r="I643">
        <v>2.2000000000000001E-3</v>
      </c>
      <c r="J643">
        <v>0.16206000000000001</v>
      </c>
      <c r="K643">
        <v>1.359E-2</v>
      </c>
    </row>
    <row r="644" spans="8:11">
      <c r="H644">
        <v>432</v>
      </c>
      <c r="I644">
        <v>3.15E-3</v>
      </c>
      <c r="J644">
        <v>0.13647000000000001</v>
      </c>
      <c r="K644">
        <v>2.3099999999999999E-2</v>
      </c>
    </row>
    <row r="645" spans="8:11">
      <c r="H645">
        <v>433</v>
      </c>
      <c r="I645">
        <v>1.23E-3</v>
      </c>
      <c r="J645">
        <v>0.15348999999999999</v>
      </c>
      <c r="K645">
        <v>8.0099999999999998E-3</v>
      </c>
    </row>
    <row r="646" spans="8:11">
      <c r="H646">
        <v>433</v>
      </c>
      <c r="I646">
        <v>1.23E-3</v>
      </c>
      <c r="J646">
        <v>0.15348999999999999</v>
      </c>
      <c r="K646">
        <v>8.0099999999999998E-3</v>
      </c>
    </row>
    <row r="647" spans="8:11">
      <c r="H647">
        <v>433</v>
      </c>
      <c r="I647">
        <v>4.0800000000000003E-3</v>
      </c>
      <c r="J647">
        <v>0.12264</v>
      </c>
      <c r="K647">
        <v>3.3300000000000003E-2</v>
      </c>
    </row>
    <row r="648" spans="8:11">
      <c r="H648">
        <v>436</v>
      </c>
      <c r="I648">
        <v>2.0100000000000001E-3</v>
      </c>
      <c r="J648">
        <v>9.5170000000000005E-2</v>
      </c>
      <c r="K648">
        <v>2.1149999999999999E-2</v>
      </c>
    </row>
    <row r="649" spans="8:11">
      <c r="H649">
        <v>437</v>
      </c>
      <c r="I649">
        <v>4.9399999999999999E-3</v>
      </c>
      <c r="J649">
        <v>8.4709999999999994E-2</v>
      </c>
      <c r="K649">
        <v>5.8310000000000001E-2</v>
      </c>
    </row>
    <row r="650" spans="8:11">
      <c r="H650">
        <v>437</v>
      </c>
      <c r="I650">
        <v>2.8900000000000002E-3</v>
      </c>
      <c r="J650">
        <v>0.10228</v>
      </c>
      <c r="K650">
        <v>2.827E-2</v>
      </c>
    </row>
    <row r="651" spans="8:11">
      <c r="H651">
        <v>440</v>
      </c>
      <c r="I651">
        <v>3.5400000000000002E-3</v>
      </c>
      <c r="J651">
        <v>6.6900000000000001E-2</v>
      </c>
      <c r="K651">
        <v>5.2859999999999997E-2</v>
      </c>
    </row>
    <row r="652" spans="8:11">
      <c r="H652">
        <v>442</v>
      </c>
      <c r="I652">
        <v>1.7700000000000001E-3</v>
      </c>
      <c r="J652">
        <v>4.9410000000000003E-2</v>
      </c>
      <c r="K652">
        <v>3.585E-2</v>
      </c>
    </row>
    <row r="653" spans="8:11">
      <c r="H653">
        <v>443</v>
      </c>
      <c r="I653">
        <v>6.8300000000000001E-3</v>
      </c>
      <c r="J653">
        <v>0.11509</v>
      </c>
      <c r="K653">
        <v>5.9339999999999997E-2</v>
      </c>
    </row>
    <row r="654" spans="8:11">
      <c r="H654">
        <v>444</v>
      </c>
      <c r="I654">
        <v>2.5200000000000001E-3</v>
      </c>
      <c r="J654">
        <v>0.13944999999999999</v>
      </c>
      <c r="K654">
        <v>1.804E-2</v>
      </c>
    </row>
    <row r="655" spans="8:11">
      <c r="H655">
        <v>445</v>
      </c>
      <c r="I655">
        <v>1.359E-2</v>
      </c>
      <c r="J655">
        <v>0.12324</v>
      </c>
      <c r="K655">
        <v>0.11024</v>
      </c>
    </row>
    <row r="656" spans="8:11">
      <c r="H656">
        <v>446</v>
      </c>
      <c r="I656">
        <v>6.7000000000000002E-4</v>
      </c>
      <c r="J656">
        <v>0.11142000000000001</v>
      </c>
      <c r="K656">
        <v>6.0099999999999997E-3</v>
      </c>
    </row>
    <row r="657" spans="8:11">
      <c r="H657">
        <v>446</v>
      </c>
      <c r="I657">
        <v>1.6299999999999999E-3</v>
      </c>
      <c r="J657">
        <v>0.11519</v>
      </c>
      <c r="K657">
        <v>1.4160000000000001E-2</v>
      </c>
    </row>
    <row r="658" spans="8:11">
      <c r="H658">
        <v>448</v>
      </c>
      <c r="I658">
        <v>1.14E-3</v>
      </c>
      <c r="J658">
        <v>0.13124</v>
      </c>
      <c r="K658">
        <v>8.6800000000000002E-3</v>
      </c>
    </row>
    <row r="659" spans="8:11">
      <c r="H659">
        <v>450</v>
      </c>
      <c r="I659">
        <v>2.32E-3</v>
      </c>
      <c r="J659">
        <v>0.13575999999999999</v>
      </c>
      <c r="K659">
        <v>1.7090000000000001E-2</v>
      </c>
    </row>
    <row r="660" spans="8:11">
      <c r="H660">
        <v>450</v>
      </c>
      <c r="I660">
        <v>9.6000000000000002E-4</v>
      </c>
      <c r="J660">
        <v>0.13880000000000001</v>
      </c>
      <c r="K660">
        <v>6.9300000000000004E-3</v>
      </c>
    </row>
    <row r="661" spans="8:11">
      <c r="H661">
        <v>454</v>
      </c>
      <c r="I661">
        <v>1.34E-3</v>
      </c>
      <c r="J661">
        <v>0.14784</v>
      </c>
      <c r="K661">
        <v>9.0900000000000009E-3</v>
      </c>
    </row>
    <row r="662" spans="8:11">
      <c r="H662">
        <v>455</v>
      </c>
      <c r="I662">
        <v>3.7699999999999999E-3</v>
      </c>
      <c r="J662">
        <v>0.15412999999999999</v>
      </c>
      <c r="K662">
        <v>2.4490000000000001E-2</v>
      </c>
    </row>
    <row r="663" spans="8:11">
      <c r="H663">
        <v>456</v>
      </c>
      <c r="I663">
        <v>3.82E-3</v>
      </c>
      <c r="J663">
        <v>0.10789</v>
      </c>
      <c r="K663">
        <v>3.542E-2</v>
      </c>
    </row>
    <row r="664" spans="8:11">
      <c r="H664">
        <v>459</v>
      </c>
      <c r="I664">
        <v>4.8300000000000001E-3</v>
      </c>
      <c r="J664">
        <v>0.14637</v>
      </c>
      <c r="K664">
        <v>3.3020000000000001E-2</v>
      </c>
    </row>
    <row r="665" spans="8:11">
      <c r="H665">
        <v>459</v>
      </c>
      <c r="I665">
        <v>3.2399999999999998E-3</v>
      </c>
      <c r="J665">
        <v>0.13449</v>
      </c>
      <c r="K665">
        <v>2.4109999999999999E-2</v>
      </c>
    </row>
    <row r="666" spans="8:11">
      <c r="H666">
        <v>462</v>
      </c>
      <c r="I666">
        <v>1.49E-3</v>
      </c>
      <c r="J666">
        <v>0.12827</v>
      </c>
      <c r="K666">
        <v>1.159E-2</v>
      </c>
    </row>
    <row r="667" spans="8:11">
      <c r="H667">
        <v>463</v>
      </c>
      <c r="I667">
        <v>7.9399999999999991E-3</v>
      </c>
      <c r="J667">
        <v>0.11817</v>
      </c>
      <c r="K667">
        <v>6.7169999999999994E-2</v>
      </c>
    </row>
    <row r="668" spans="8:11">
      <c r="H668">
        <v>465</v>
      </c>
      <c r="I668">
        <v>3.6999999999999999E-4</v>
      </c>
      <c r="J668">
        <v>7.2929999999999995E-2</v>
      </c>
      <c r="K668">
        <v>5.0699999999999999E-3</v>
      </c>
    </row>
    <row r="669" spans="8:11">
      <c r="H669">
        <v>466</v>
      </c>
      <c r="I669">
        <v>2.2899999999999999E-3</v>
      </c>
      <c r="J669">
        <v>0.14174</v>
      </c>
      <c r="K669">
        <v>1.6140000000000002E-2</v>
      </c>
    </row>
    <row r="670" spans="8:11">
      <c r="H670">
        <v>467</v>
      </c>
      <c r="I670">
        <v>1.83E-3</v>
      </c>
      <c r="J670">
        <v>0.11151999999999999</v>
      </c>
      <c r="K670">
        <v>1.644E-2</v>
      </c>
    </row>
    <row r="671" spans="8:11">
      <c r="H671">
        <v>468</v>
      </c>
      <c r="I671">
        <v>3.2200000000000002E-3</v>
      </c>
      <c r="J671">
        <v>0.15978000000000001</v>
      </c>
      <c r="K671">
        <v>2.0140000000000002E-2</v>
      </c>
    </row>
    <row r="672" spans="8:11">
      <c r="H672">
        <v>469</v>
      </c>
      <c r="I672">
        <v>9.2000000000000003E-4</v>
      </c>
      <c r="J672">
        <v>0.16561000000000001</v>
      </c>
      <c r="K672">
        <v>5.5799999999999999E-3</v>
      </c>
    </row>
    <row r="673" spans="8:11">
      <c r="H673">
        <v>469</v>
      </c>
      <c r="I673">
        <v>5.9899999999999997E-3</v>
      </c>
      <c r="J673">
        <v>0.12058000000000001</v>
      </c>
      <c r="K673">
        <v>4.9700000000000001E-2</v>
      </c>
    </row>
    <row r="674" spans="8:11">
      <c r="H674">
        <v>470</v>
      </c>
      <c r="I674">
        <v>2.0699999999999998E-3</v>
      </c>
      <c r="J674">
        <v>9.4409999999999994E-2</v>
      </c>
      <c r="K674">
        <v>2.1919999999999999E-2</v>
      </c>
    </row>
    <row r="675" spans="8:11">
      <c r="H675">
        <v>472</v>
      </c>
      <c r="I675">
        <v>1.226E-2</v>
      </c>
      <c r="J675">
        <v>9.6420000000000006E-2</v>
      </c>
      <c r="K675">
        <v>0.12712000000000001</v>
      </c>
    </row>
    <row r="676" spans="8:11">
      <c r="H676">
        <v>472</v>
      </c>
      <c r="I676">
        <v>3.6600000000000001E-3</v>
      </c>
      <c r="J676">
        <v>0.15816</v>
      </c>
      <c r="K676">
        <v>2.3140000000000001E-2</v>
      </c>
    </row>
    <row r="677" spans="8:11">
      <c r="H677">
        <v>472</v>
      </c>
      <c r="I677">
        <v>3.6600000000000001E-3</v>
      </c>
      <c r="J677">
        <v>0.15816</v>
      </c>
      <c r="K677">
        <v>2.3140000000000001E-2</v>
      </c>
    </row>
    <row r="678" spans="8:11">
      <c r="H678">
        <v>473</v>
      </c>
      <c r="I678">
        <v>2.5999999999999999E-3</v>
      </c>
      <c r="J678">
        <v>9.7309999999999994E-2</v>
      </c>
      <c r="K678">
        <v>2.6749999999999999E-2</v>
      </c>
    </row>
    <row r="679" spans="8:11">
      <c r="H679">
        <v>476</v>
      </c>
      <c r="I679">
        <v>3.6000000000000002E-4</v>
      </c>
      <c r="J679">
        <v>0.13922000000000001</v>
      </c>
      <c r="K679">
        <v>2.6099999999999999E-3</v>
      </c>
    </row>
    <row r="680" spans="8:11">
      <c r="H680">
        <v>478</v>
      </c>
      <c r="I680">
        <v>5.2300000000000003E-3</v>
      </c>
      <c r="J680">
        <v>0.12009</v>
      </c>
      <c r="K680">
        <v>4.3580000000000001E-2</v>
      </c>
    </row>
    <row r="681" spans="8:11">
      <c r="H681">
        <v>483</v>
      </c>
      <c r="I681">
        <v>4.0800000000000003E-3</v>
      </c>
      <c r="J681">
        <v>0.14383000000000001</v>
      </c>
      <c r="K681">
        <v>2.8379999999999999E-2</v>
      </c>
    </row>
    <row r="682" spans="8:11">
      <c r="H682">
        <v>484</v>
      </c>
      <c r="I682">
        <v>4.62E-3</v>
      </c>
      <c r="J682">
        <v>0.11771</v>
      </c>
      <c r="K682">
        <v>3.9230000000000001E-2</v>
      </c>
    </row>
    <row r="683" spans="8:11">
      <c r="H683">
        <v>485</v>
      </c>
      <c r="I683">
        <v>1.64E-3</v>
      </c>
      <c r="J683">
        <v>0.13808999999999999</v>
      </c>
      <c r="K683">
        <v>1.189E-2</v>
      </c>
    </row>
    <row r="684" spans="8:11">
      <c r="H684">
        <v>488</v>
      </c>
      <c r="I684">
        <v>1.7899999999999999E-3</v>
      </c>
      <c r="J684">
        <v>0.12132</v>
      </c>
      <c r="K684">
        <v>1.478E-2</v>
      </c>
    </row>
    <row r="685" spans="8:11">
      <c r="H685">
        <v>488</v>
      </c>
      <c r="I685">
        <v>1.7899999999999999E-3</v>
      </c>
      <c r="J685">
        <v>0.12132</v>
      </c>
      <c r="K685">
        <v>1.478E-2</v>
      </c>
    </row>
    <row r="686" spans="8:11">
      <c r="H686">
        <v>490</v>
      </c>
      <c r="I686">
        <v>2.1900000000000001E-3</v>
      </c>
      <c r="J686">
        <v>0.15390000000000001</v>
      </c>
      <c r="K686">
        <v>1.4200000000000001E-2</v>
      </c>
    </row>
    <row r="687" spans="8:11">
      <c r="H687">
        <v>492</v>
      </c>
      <c r="I687">
        <v>1.9300000000000001E-3</v>
      </c>
      <c r="J687">
        <v>0.14510000000000001</v>
      </c>
      <c r="K687">
        <v>1.3299999999999999E-2</v>
      </c>
    </row>
    <row r="688" spans="8:11">
      <c r="H688">
        <v>499</v>
      </c>
      <c r="I688">
        <v>1.1999999999999999E-3</v>
      </c>
      <c r="J688">
        <v>0.14990000000000001</v>
      </c>
      <c r="K688">
        <v>8.0300000000000007E-3</v>
      </c>
    </row>
    <row r="689" spans="8:11">
      <c r="H689">
        <v>502</v>
      </c>
      <c r="I689">
        <v>9.5499999999999995E-3</v>
      </c>
      <c r="J689">
        <v>0.11252</v>
      </c>
      <c r="K689">
        <v>8.4860000000000005E-2</v>
      </c>
    </row>
    <row r="690" spans="8:11">
      <c r="H690">
        <v>502</v>
      </c>
      <c r="I690">
        <v>1.42E-3</v>
      </c>
      <c r="J690">
        <v>8.3299999999999999E-2</v>
      </c>
      <c r="K690">
        <v>1.6990000000000002E-2</v>
      </c>
    </row>
    <row r="691" spans="8:11">
      <c r="H691">
        <v>509</v>
      </c>
      <c r="I691">
        <v>2.1900000000000001E-3</v>
      </c>
      <c r="J691">
        <v>0.13644999999999999</v>
      </c>
      <c r="K691">
        <v>1.601E-2</v>
      </c>
    </row>
    <row r="692" spans="8:11">
      <c r="H692">
        <v>509</v>
      </c>
      <c r="I692">
        <v>3.4099999999999998E-3</v>
      </c>
      <c r="J692">
        <v>0.15842999999999999</v>
      </c>
      <c r="K692">
        <v>2.1520000000000001E-2</v>
      </c>
    </row>
    <row r="693" spans="8:11">
      <c r="H693">
        <v>511</v>
      </c>
      <c r="I693">
        <v>2.8400000000000001E-3</v>
      </c>
      <c r="J693">
        <v>0.13320000000000001</v>
      </c>
      <c r="K693">
        <v>2.1350000000000001E-2</v>
      </c>
    </row>
    <row r="694" spans="8:11">
      <c r="H694">
        <v>511</v>
      </c>
      <c r="I694">
        <v>5.9800000000000001E-3</v>
      </c>
      <c r="J694">
        <v>0.13827999999999999</v>
      </c>
      <c r="K694">
        <v>4.326E-2</v>
      </c>
    </row>
    <row r="695" spans="8:11">
      <c r="H695">
        <v>513</v>
      </c>
      <c r="I695">
        <v>3.8600000000000001E-3</v>
      </c>
      <c r="J695">
        <v>9.6420000000000006E-2</v>
      </c>
      <c r="K695">
        <v>3.9989999999999998E-2</v>
      </c>
    </row>
    <row r="696" spans="8:11">
      <c r="H696">
        <v>513</v>
      </c>
      <c r="I696">
        <v>3.8600000000000001E-3</v>
      </c>
      <c r="J696">
        <v>9.6420000000000006E-2</v>
      </c>
      <c r="K696">
        <v>3.9989999999999998E-2</v>
      </c>
    </row>
    <row r="697" spans="8:11">
      <c r="H697">
        <v>513</v>
      </c>
      <c r="I697">
        <v>1.25E-3</v>
      </c>
      <c r="J697">
        <v>0.11811000000000001</v>
      </c>
      <c r="K697">
        <v>1.0580000000000001E-2</v>
      </c>
    </row>
    <row r="698" spans="8:11">
      <c r="H698">
        <v>520</v>
      </c>
      <c r="I698">
        <v>0</v>
      </c>
      <c r="J698">
        <v>4.5409999999999999E-2</v>
      </c>
      <c r="K698">
        <v>0</v>
      </c>
    </row>
    <row r="699" spans="8:11">
      <c r="H699">
        <v>540</v>
      </c>
      <c r="I699">
        <v>1.99E-3</v>
      </c>
      <c r="J699">
        <v>0.14218</v>
      </c>
      <c r="K699">
        <v>1.3979999999999999E-2</v>
      </c>
    </row>
    <row r="700" spans="8:11">
      <c r="H700">
        <v>544</v>
      </c>
      <c r="I700">
        <v>1.31E-3</v>
      </c>
      <c r="J700">
        <v>6.5490000000000007E-2</v>
      </c>
      <c r="K700">
        <v>2.001E-2</v>
      </c>
    </row>
    <row r="701" spans="8:11">
      <c r="H701">
        <v>555</v>
      </c>
      <c r="I701">
        <v>2.99E-3</v>
      </c>
      <c r="J701">
        <v>0.14127000000000001</v>
      </c>
      <c r="K701">
        <v>2.12E-2</v>
      </c>
    </row>
    <row r="702" spans="8:11">
      <c r="H702">
        <v>570</v>
      </c>
      <c r="I702">
        <v>6.0999999999999997E-4</v>
      </c>
      <c r="J702">
        <v>8.5120000000000001E-2</v>
      </c>
      <c r="K702">
        <v>7.1300000000000001E-3</v>
      </c>
    </row>
    <row r="703" spans="8:11">
      <c r="H703">
        <v>580</v>
      </c>
      <c r="I703">
        <v>4.0899999999999999E-3</v>
      </c>
      <c r="J703">
        <v>0.12964999999999999</v>
      </c>
      <c r="K703">
        <v>3.1539999999999999E-2</v>
      </c>
    </row>
    <row r="704" spans="8:11">
      <c r="H704">
        <v>582</v>
      </c>
      <c r="I704">
        <v>3.98E-3</v>
      </c>
      <c r="J704">
        <v>0.11917</v>
      </c>
      <c r="K704">
        <v>3.3430000000000001E-2</v>
      </c>
    </row>
    <row r="705" spans="8:11">
      <c r="H705">
        <v>586</v>
      </c>
      <c r="I705">
        <v>1.0300000000000001E-3</v>
      </c>
      <c r="J705">
        <v>0.15129999999999999</v>
      </c>
      <c r="K705">
        <v>6.8399999999999997E-3</v>
      </c>
    </row>
    <row r="706" spans="8:11">
      <c r="H706">
        <v>600</v>
      </c>
      <c r="I706">
        <v>2.9399999999999999E-3</v>
      </c>
      <c r="J706">
        <v>0.13519</v>
      </c>
      <c r="K706">
        <v>2.1729999999999999E-2</v>
      </c>
    </row>
    <row r="707" spans="8:11">
      <c r="H707">
        <v>603</v>
      </c>
      <c r="I707">
        <v>4.7499999999999999E-3</v>
      </c>
      <c r="J707">
        <v>0.10524</v>
      </c>
      <c r="K707">
        <v>4.5170000000000002E-2</v>
      </c>
    </row>
    <row r="708" spans="8:11">
      <c r="H708">
        <v>603</v>
      </c>
      <c r="I708">
        <v>4.7499999999999999E-3</v>
      </c>
      <c r="J708">
        <v>0.10524</v>
      </c>
      <c r="K708">
        <v>4.5170000000000002E-2</v>
      </c>
    </row>
    <row r="709" spans="8:11">
      <c r="H709">
        <v>606</v>
      </c>
      <c r="I709">
        <v>4.2300000000000003E-3</v>
      </c>
      <c r="J709">
        <v>0.15734999999999999</v>
      </c>
      <c r="K709">
        <v>2.6880000000000001E-2</v>
      </c>
    </row>
    <row r="710" spans="8:11">
      <c r="H710">
        <v>611</v>
      </c>
      <c r="I710">
        <v>1.57E-3</v>
      </c>
      <c r="J710">
        <v>9.5350000000000004E-2</v>
      </c>
      <c r="K710">
        <v>1.643E-2</v>
      </c>
    </row>
    <row r="711" spans="8:11">
      <c r="H711">
        <v>611</v>
      </c>
      <c r="I711">
        <v>1.57E-3</v>
      </c>
      <c r="J711">
        <v>9.5350000000000004E-2</v>
      </c>
      <c r="K711">
        <v>1.643E-2</v>
      </c>
    </row>
    <row r="712" spans="8:11">
      <c r="H712">
        <v>611</v>
      </c>
      <c r="I712">
        <v>1.57E-3</v>
      </c>
      <c r="J712">
        <v>9.5350000000000004E-2</v>
      </c>
      <c r="K712">
        <v>1.643E-2</v>
      </c>
    </row>
    <row r="713" spans="8:11">
      <c r="H713">
        <v>611</v>
      </c>
      <c r="I713">
        <v>2.1099999999999999E-3</v>
      </c>
      <c r="J713">
        <v>0.12856999999999999</v>
      </c>
      <c r="K713">
        <v>1.6400000000000001E-2</v>
      </c>
    </row>
    <row r="714" spans="8:11">
      <c r="H714">
        <v>612</v>
      </c>
      <c r="I714">
        <v>1.6999999999999999E-3</v>
      </c>
      <c r="J714">
        <v>0.14457999999999999</v>
      </c>
      <c r="K714">
        <v>1.1780000000000001E-2</v>
      </c>
    </row>
    <row r="715" spans="8:11">
      <c r="H715">
        <v>622</v>
      </c>
      <c r="I715">
        <v>1.0869999999999999E-2</v>
      </c>
      <c r="J715">
        <v>9.8159999999999997E-2</v>
      </c>
      <c r="K715">
        <v>0.11069</v>
      </c>
    </row>
    <row r="716" spans="8:11">
      <c r="H716">
        <v>628</v>
      </c>
      <c r="I716">
        <v>1.33E-3</v>
      </c>
      <c r="J716">
        <v>0.13475999999999999</v>
      </c>
      <c r="K716">
        <v>9.8799999999999999E-3</v>
      </c>
    </row>
    <row r="717" spans="8:11">
      <c r="H717">
        <v>631</v>
      </c>
      <c r="I717">
        <v>1.3600000000000001E-3</v>
      </c>
      <c r="J717">
        <v>0.14413999999999999</v>
      </c>
      <c r="K717">
        <v>9.4199999999999996E-3</v>
      </c>
    </row>
    <row r="718" spans="8:11">
      <c r="H718">
        <v>632</v>
      </c>
      <c r="I718">
        <v>1.5499999999999999E-3</v>
      </c>
      <c r="J718">
        <v>0.12096</v>
      </c>
      <c r="K718">
        <v>1.285E-2</v>
      </c>
    </row>
    <row r="719" spans="8:11">
      <c r="H719">
        <v>633</v>
      </c>
      <c r="I719">
        <v>2.8500000000000001E-3</v>
      </c>
      <c r="J719">
        <v>0.12322</v>
      </c>
      <c r="K719">
        <v>2.3130000000000001E-2</v>
      </c>
    </row>
    <row r="720" spans="8:11">
      <c r="H720">
        <v>637</v>
      </c>
      <c r="I720">
        <v>8.0999999999999996E-4</v>
      </c>
      <c r="J720">
        <v>0.1123</v>
      </c>
      <c r="K720">
        <v>7.2500000000000004E-3</v>
      </c>
    </row>
    <row r="721" spans="8:11">
      <c r="H721">
        <v>638</v>
      </c>
      <c r="I721">
        <v>1.9300000000000001E-3</v>
      </c>
      <c r="J721">
        <v>0.13616</v>
      </c>
      <c r="K721">
        <v>1.417E-2</v>
      </c>
    </row>
    <row r="722" spans="8:11">
      <c r="H722">
        <v>643</v>
      </c>
      <c r="I722">
        <v>2.2799999999999999E-3</v>
      </c>
      <c r="J722">
        <v>0.15345</v>
      </c>
      <c r="K722">
        <v>1.4840000000000001E-2</v>
      </c>
    </row>
    <row r="723" spans="8:11">
      <c r="H723">
        <v>649</v>
      </c>
      <c r="I723">
        <v>2.5200000000000001E-3</v>
      </c>
      <c r="J723">
        <v>0.12381</v>
      </c>
      <c r="K723">
        <v>2.0389999999999998E-2</v>
      </c>
    </row>
    <row r="724" spans="8:11">
      <c r="H724">
        <v>659</v>
      </c>
      <c r="I724">
        <v>2.5200000000000001E-3</v>
      </c>
      <c r="J724">
        <v>0.13503000000000001</v>
      </c>
      <c r="K724">
        <v>1.865E-2</v>
      </c>
    </row>
    <row r="725" spans="8:11">
      <c r="H725">
        <v>692</v>
      </c>
      <c r="I725">
        <v>2.14E-3</v>
      </c>
      <c r="J725">
        <v>6.497E-2</v>
      </c>
      <c r="K725">
        <v>3.2960000000000003E-2</v>
      </c>
    </row>
    <row r="726" spans="8:11">
      <c r="H726">
        <v>699</v>
      </c>
      <c r="I726">
        <v>3.5699999999999998E-3</v>
      </c>
      <c r="J726">
        <v>0.1166</v>
      </c>
      <c r="K726">
        <v>3.0589999999999999E-2</v>
      </c>
    </row>
    <row r="727" spans="8:11">
      <c r="H727">
        <v>700</v>
      </c>
      <c r="I727">
        <v>3.0500000000000002E-3</v>
      </c>
      <c r="J727">
        <v>0.14656</v>
      </c>
      <c r="K727">
        <v>2.0820000000000002E-2</v>
      </c>
    </row>
    <row r="728" spans="8:11">
      <c r="H728">
        <v>705</v>
      </c>
      <c r="I728">
        <v>4.0000000000000001E-3</v>
      </c>
      <c r="J728">
        <v>0.11607000000000001</v>
      </c>
      <c r="K728">
        <v>3.449E-2</v>
      </c>
    </row>
    <row r="729" spans="8:11">
      <c r="H729">
        <v>716</v>
      </c>
      <c r="I729">
        <v>2.3E-3</v>
      </c>
      <c r="J729">
        <v>0.11869</v>
      </c>
      <c r="K729">
        <v>1.9359999999999999E-2</v>
      </c>
    </row>
    <row r="730" spans="8:11">
      <c r="H730">
        <v>734</v>
      </c>
      <c r="I730">
        <v>1.4E-3</v>
      </c>
      <c r="J730">
        <v>0.16217999999999999</v>
      </c>
      <c r="K730">
        <v>8.6400000000000001E-3</v>
      </c>
    </row>
    <row r="731" spans="8:11">
      <c r="H731">
        <v>779</v>
      </c>
      <c r="I731">
        <v>2.98E-3</v>
      </c>
      <c r="J731">
        <v>0.17186000000000001</v>
      </c>
      <c r="K731">
        <v>1.7309999999999999E-2</v>
      </c>
    </row>
    <row r="732" spans="8:11">
      <c r="H732">
        <v>804</v>
      </c>
      <c r="I732">
        <v>5.5999999999999999E-3</v>
      </c>
      <c r="J732">
        <v>0.15518999999999999</v>
      </c>
      <c r="K732">
        <v>3.6089999999999997E-2</v>
      </c>
    </row>
    <row r="733" spans="8:11">
      <c r="H733">
        <v>841</v>
      </c>
      <c r="I733">
        <v>4.3600000000000002E-3</v>
      </c>
      <c r="J733">
        <v>0.13216</v>
      </c>
      <c r="K733">
        <v>3.2969999999999999E-2</v>
      </c>
    </row>
    <row r="734" spans="8:11">
      <c r="H734">
        <v>1193</v>
      </c>
      <c r="I734">
        <v>5.1000000000000004E-4</v>
      </c>
      <c r="J734">
        <v>8.0949999999999994E-2</v>
      </c>
      <c r="K734">
        <v>6.3200000000000001E-3</v>
      </c>
    </row>
    <row r="735" spans="8:11">
      <c r="H735">
        <v>1199</v>
      </c>
      <c r="I735">
        <v>5.8E-4</v>
      </c>
      <c r="J735">
        <v>7.8780000000000003E-2</v>
      </c>
      <c r="K735">
        <v>7.4099999999999999E-3</v>
      </c>
    </row>
    <row r="736" spans="8:11">
      <c r="H736">
        <v>2334</v>
      </c>
      <c r="I736">
        <v>8.3899999999999999E-3</v>
      </c>
      <c r="J736">
        <v>0.16519</v>
      </c>
      <c r="K736">
        <v>5.0770000000000003E-2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723A-48E3-F34B-81CD-0525A558A0F9}">
  <dimension ref="B1:E907"/>
  <sheetViews>
    <sheetView tabSelected="1" zoomScale="120" zoomScaleNormal="120" workbookViewId="0">
      <selection activeCell="H15" sqref="H15"/>
    </sheetView>
  </sheetViews>
  <sheetFormatPr baseColWidth="10" defaultRowHeight="15"/>
  <cols>
    <col min="3" max="3" width="15.6640625" bestFit="1" customWidth="1"/>
    <col min="4" max="4" width="7.6640625" bestFit="1" customWidth="1"/>
    <col min="5" max="5" width="8.83203125"/>
  </cols>
  <sheetData>
    <row r="1" spans="2:5">
      <c r="B1" t="s">
        <v>58</v>
      </c>
      <c r="C1" t="s">
        <v>4183</v>
      </c>
      <c r="D1" t="s">
        <v>4214</v>
      </c>
      <c r="E1" t="s">
        <v>4215</v>
      </c>
    </row>
    <row r="2" spans="2:5">
      <c r="B2" t="s">
        <v>4168</v>
      </c>
      <c r="C2">
        <v>446</v>
      </c>
      <c r="D2">
        <v>1</v>
      </c>
      <c r="E2">
        <v>0</v>
      </c>
    </row>
    <row r="3" spans="2:5">
      <c r="B3" t="s">
        <v>4168</v>
      </c>
      <c r="C3">
        <v>370</v>
      </c>
      <c r="D3">
        <v>6</v>
      </c>
      <c r="E3">
        <v>0</v>
      </c>
    </row>
    <row r="4" spans="2:5">
      <c r="B4" t="s">
        <v>4168</v>
      </c>
      <c r="C4">
        <v>638</v>
      </c>
      <c r="D4">
        <v>5</v>
      </c>
      <c r="E4">
        <v>0</v>
      </c>
    </row>
    <row r="5" spans="2:5">
      <c r="B5" t="s">
        <v>4168</v>
      </c>
      <c r="C5">
        <v>488</v>
      </c>
      <c r="D5">
        <v>4</v>
      </c>
      <c r="E5">
        <v>0</v>
      </c>
    </row>
    <row r="6" spans="2:5">
      <c r="B6" t="s">
        <v>4168</v>
      </c>
      <c r="C6">
        <v>488</v>
      </c>
      <c r="D6">
        <v>4</v>
      </c>
      <c r="E6">
        <v>0</v>
      </c>
    </row>
    <row r="7" spans="2:5">
      <c r="B7" t="s">
        <v>4168</v>
      </c>
      <c r="C7">
        <v>443</v>
      </c>
      <c r="D7">
        <v>15</v>
      </c>
      <c r="E7">
        <v>2</v>
      </c>
    </row>
    <row r="8" spans="2:5">
      <c r="B8" t="s">
        <v>4168</v>
      </c>
      <c r="C8">
        <v>294</v>
      </c>
      <c r="D8">
        <v>1</v>
      </c>
      <c r="E8">
        <v>0</v>
      </c>
    </row>
    <row r="9" spans="2:5">
      <c r="B9" t="s">
        <v>4168</v>
      </c>
      <c r="C9">
        <v>198</v>
      </c>
      <c r="D9">
        <v>0</v>
      </c>
      <c r="E9">
        <v>0</v>
      </c>
    </row>
    <row r="10" spans="2:5">
      <c r="B10" t="s">
        <v>4168</v>
      </c>
      <c r="C10">
        <v>74</v>
      </c>
      <c r="D10">
        <v>2</v>
      </c>
      <c r="E10">
        <v>2</v>
      </c>
    </row>
    <row r="11" spans="2:5">
      <c r="B11" t="s">
        <v>4168</v>
      </c>
      <c r="C11">
        <v>109</v>
      </c>
      <c r="D11">
        <v>1</v>
      </c>
      <c r="E11">
        <v>0</v>
      </c>
    </row>
    <row r="12" spans="2:5">
      <c r="B12" t="s">
        <v>4168</v>
      </c>
      <c r="C12">
        <v>329</v>
      </c>
      <c r="D12">
        <v>4</v>
      </c>
      <c r="E12">
        <v>0</v>
      </c>
    </row>
    <row r="13" spans="2:5">
      <c r="B13" t="s">
        <v>4168</v>
      </c>
      <c r="C13">
        <v>275</v>
      </c>
      <c r="D13">
        <v>3</v>
      </c>
      <c r="E13">
        <v>0</v>
      </c>
    </row>
    <row r="14" spans="2:5">
      <c r="B14" t="s">
        <v>4168</v>
      </c>
      <c r="C14">
        <v>119</v>
      </c>
      <c r="D14">
        <v>0</v>
      </c>
      <c r="E14">
        <v>0</v>
      </c>
    </row>
    <row r="15" spans="2:5">
      <c r="B15" t="s">
        <v>4168</v>
      </c>
      <c r="C15">
        <v>437</v>
      </c>
      <c r="D15">
        <v>11</v>
      </c>
      <c r="E15">
        <v>4</v>
      </c>
    </row>
    <row r="16" spans="2:5">
      <c r="B16" t="s">
        <v>4168</v>
      </c>
      <c r="C16">
        <v>186</v>
      </c>
      <c r="D16">
        <v>9</v>
      </c>
      <c r="E16">
        <v>2</v>
      </c>
    </row>
    <row r="17" spans="2:5">
      <c r="B17" t="s">
        <v>4168</v>
      </c>
      <c r="C17">
        <v>61</v>
      </c>
      <c r="D17">
        <v>0</v>
      </c>
      <c r="E17">
        <v>0</v>
      </c>
    </row>
    <row r="18" spans="2:5">
      <c r="B18" t="s">
        <v>4168</v>
      </c>
      <c r="C18">
        <v>289</v>
      </c>
      <c r="D18">
        <v>6</v>
      </c>
      <c r="E18">
        <v>0</v>
      </c>
    </row>
    <row r="19" spans="2:5">
      <c r="B19" t="s">
        <v>4168</v>
      </c>
      <c r="C19">
        <v>285</v>
      </c>
      <c r="D19">
        <v>0</v>
      </c>
      <c r="E19">
        <v>0</v>
      </c>
    </row>
    <row r="20" spans="2:5">
      <c r="B20" t="s">
        <v>4168</v>
      </c>
      <c r="C20">
        <v>125</v>
      </c>
      <c r="D20">
        <v>2</v>
      </c>
      <c r="E20">
        <v>0</v>
      </c>
    </row>
    <row r="21" spans="2:5">
      <c r="B21" t="s">
        <v>4168</v>
      </c>
      <c r="C21">
        <v>97</v>
      </c>
      <c r="D21">
        <v>1</v>
      </c>
      <c r="E21">
        <v>0</v>
      </c>
    </row>
    <row r="22" spans="2:5">
      <c r="B22" t="s">
        <v>4168</v>
      </c>
      <c r="C22">
        <v>456</v>
      </c>
      <c r="D22">
        <v>8</v>
      </c>
      <c r="E22">
        <v>0</v>
      </c>
    </row>
    <row r="23" spans="2:5">
      <c r="B23" t="s">
        <v>4168</v>
      </c>
      <c r="C23">
        <v>317</v>
      </c>
      <c r="D23">
        <v>0</v>
      </c>
      <c r="E23">
        <v>0</v>
      </c>
    </row>
    <row r="24" spans="2:5">
      <c r="B24" t="s">
        <v>4168</v>
      </c>
      <c r="C24">
        <v>188</v>
      </c>
      <c r="D24">
        <v>7</v>
      </c>
      <c r="E24">
        <v>0</v>
      </c>
    </row>
    <row r="25" spans="2:5">
      <c r="B25" t="s">
        <v>4168</v>
      </c>
      <c r="C25">
        <v>76</v>
      </c>
      <c r="D25">
        <v>4</v>
      </c>
      <c r="E25">
        <v>0</v>
      </c>
    </row>
    <row r="26" spans="2:5">
      <c r="B26" t="s">
        <v>4168</v>
      </c>
      <c r="C26">
        <v>211</v>
      </c>
      <c r="D26">
        <v>18</v>
      </c>
      <c r="E26">
        <v>2</v>
      </c>
    </row>
    <row r="27" spans="2:5">
      <c r="B27" t="s">
        <v>4168</v>
      </c>
      <c r="C27">
        <v>125</v>
      </c>
      <c r="D27">
        <v>2</v>
      </c>
      <c r="E27">
        <v>0</v>
      </c>
    </row>
    <row r="28" spans="2:5">
      <c r="B28" t="s">
        <v>4168</v>
      </c>
      <c r="C28">
        <v>245</v>
      </c>
      <c r="D28">
        <v>3</v>
      </c>
      <c r="E28">
        <v>0</v>
      </c>
    </row>
    <row r="29" spans="2:5">
      <c r="B29" t="s">
        <v>4168</v>
      </c>
      <c r="C29">
        <v>472</v>
      </c>
      <c r="D29">
        <v>29</v>
      </c>
      <c r="E29">
        <v>4</v>
      </c>
    </row>
    <row r="30" spans="2:5">
      <c r="B30" t="s">
        <v>4168</v>
      </c>
      <c r="C30">
        <v>180</v>
      </c>
      <c r="D30">
        <v>2</v>
      </c>
      <c r="E30">
        <v>0</v>
      </c>
    </row>
    <row r="31" spans="2:5">
      <c r="B31" t="s">
        <v>4168</v>
      </c>
      <c r="C31">
        <v>637</v>
      </c>
      <c r="D31">
        <v>2</v>
      </c>
      <c r="E31">
        <v>0</v>
      </c>
    </row>
    <row r="32" spans="2:5">
      <c r="B32" t="s">
        <v>4168</v>
      </c>
      <c r="C32">
        <v>258</v>
      </c>
      <c r="D32">
        <v>2</v>
      </c>
      <c r="E32">
        <v>0</v>
      </c>
    </row>
    <row r="33" spans="2:5">
      <c r="B33" t="s">
        <v>4168</v>
      </c>
      <c r="C33">
        <v>291</v>
      </c>
      <c r="D33">
        <v>5</v>
      </c>
      <c r="E33">
        <v>0</v>
      </c>
    </row>
    <row r="34" spans="2:5">
      <c r="B34" t="s">
        <v>4168</v>
      </c>
      <c r="C34">
        <v>308</v>
      </c>
      <c r="D34">
        <v>3</v>
      </c>
      <c r="E34">
        <v>0</v>
      </c>
    </row>
    <row r="35" spans="2:5">
      <c r="B35" t="s">
        <v>4168</v>
      </c>
      <c r="C35">
        <v>69</v>
      </c>
      <c r="D35">
        <v>1</v>
      </c>
      <c r="E35">
        <v>0</v>
      </c>
    </row>
    <row r="36" spans="2:5">
      <c r="B36" t="s">
        <v>4168</v>
      </c>
      <c r="C36">
        <v>333</v>
      </c>
      <c r="D36">
        <v>5</v>
      </c>
      <c r="E36">
        <v>0</v>
      </c>
    </row>
    <row r="37" spans="2:5">
      <c r="B37" t="s">
        <v>4168</v>
      </c>
      <c r="C37">
        <v>499</v>
      </c>
      <c r="D37">
        <v>3</v>
      </c>
      <c r="E37">
        <v>0</v>
      </c>
    </row>
    <row r="38" spans="2:5">
      <c r="B38" t="s">
        <v>4168</v>
      </c>
      <c r="C38">
        <v>154</v>
      </c>
      <c r="D38">
        <v>2</v>
      </c>
      <c r="E38">
        <v>0</v>
      </c>
    </row>
    <row r="39" spans="2:5">
      <c r="B39" t="s">
        <v>4168</v>
      </c>
      <c r="C39">
        <v>185</v>
      </c>
      <c r="D39">
        <v>5</v>
      </c>
      <c r="E39">
        <v>0</v>
      </c>
    </row>
    <row r="40" spans="2:5">
      <c r="B40" t="s">
        <v>4168</v>
      </c>
      <c r="C40">
        <v>363</v>
      </c>
      <c r="D40">
        <v>6</v>
      </c>
      <c r="E40">
        <v>0</v>
      </c>
    </row>
    <row r="41" spans="2:5">
      <c r="B41" t="s">
        <v>4168</v>
      </c>
      <c r="C41">
        <v>360</v>
      </c>
      <c r="D41">
        <v>2</v>
      </c>
      <c r="E41">
        <v>0</v>
      </c>
    </row>
    <row r="42" spans="2:5">
      <c r="B42" t="s">
        <v>4168</v>
      </c>
      <c r="C42">
        <v>366</v>
      </c>
      <c r="D42">
        <v>2</v>
      </c>
      <c r="E42">
        <v>0</v>
      </c>
    </row>
    <row r="43" spans="2:5">
      <c r="B43" t="s">
        <v>4168</v>
      </c>
      <c r="C43">
        <v>483</v>
      </c>
      <c r="D43">
        <v>11</v>
      </c>
      <c r="E43">
        <v>2</v>
      </c>
    </row>
    <row r="44" spans="2:5">
      <c r="B44" t="s">
        <v>4168</v>
      </c>
      <c r="C44">
        <v>217</v>
      </c>
      <c r="D44">
        <v>1</v>
      </c>
      <c r="E44">
        <v>0</v>
      </c>
    </row>
    <row r="45" spans="2:5">
      <c r="B45" t="s">
        <v>4168</v>
      </c>
      <c r="C45">
        <v>466</v>
      </c>
      <c r="D45">
        <v>5</v>
      </c>
      <c r="E45">
        <v>0</v>
      </c>
    </row>
    <row r="46" spans="2:5">
      <c r="B46" t="s">
        <v>4168</v>
      </c>
      <c r="C46">
        <v>143</v>
      </c>
      <c r="D46">
        <v>7</v>
      </c>
      <c r="E46">
        <v>2</v>
      </c>
    </row>
    <row r="47" spans="2:5">
      <c r="B47" t="s">
        <v>4168</v>
      </c>
      <c r="C47">
        <v>249</v>
      </c>
      <c r="D47">
        <v>3</v>
      </c>
      <c r="E47">
        <v>0</v>
      </c>
    </row>
    <row r="48" spans="2:5">
      <c r="B48" t="s">
        <v>4168</v>
      </c>
      <c r="C48">
        <v>170</v>
      </c>
      <c r="D48">
        <v>1</v>
      </c>
      <c r="E48">
        <v>0</v>
      </c>
    </row>
    <row r="49" spans="2:5">
      <c r="B49" t="s">
        <v>4168</v>
      </c>
      <c r="C49">
        <v>218</v>
      </c>
      <c r="D49">
        <v>1</v>
      </c>
      <c r="E49">
        <v>0</v>
      </c>
    </row>
    <row r="50" spans="2:5">
      <c r="B50" t="s">
        <v>4168</v>
      </c>
      <c r="C50">
        <v>177</v>
      </c>
      <c r="D50">
        <v>0</v>
      </c>
      <c r="E50">
        <v>0</v>
      </c>
    </row>
    <row r="51" spans="2:5">
      <c r="B51" t="s">
        <v>4168</v>
      </c>
      <c r="C51">
        <v>141</v>
      </c>
      <c r="D51">
        <v>0</v>
      </c>
      <c r="E51">
        <v>0</v>
      </c>
    </row>
    <row r="52" spans="2:5">
      <c r="B52" t="s">
        <v>4168</v>
      </c>
      <c r="C52">
        <v>232</v>
      </c>
      <c r="D52">
        <v>4</v>
      </c>
      <c r="E52">
        <v>0</v>
      </c>
    </row>
    <row r="53" spans="2:5">
      <c r="B53" t="s">
        <v>4168</v>
      </c>
      <c r="C53">
        <v>123</v>
      </c>
      <c r="D53">
        <v>0</v>
      </c>
      <c r="E53">
        <v>0</v>
      </c>
    </row>
    <row r="54" spans="2:5">
      <c r="B54" t="s">
        <v>4168</v>
      </c>
      <c r="C54">
        <v>201</v>
      </c>
      <c r="D54">
        <v>9</v>
      </c>
      <c r="E54">
        <v>0</v>
      </c>
    </row>
    <row r="55" spans="2:5">
      <c r="B55" t="s">
        <v>4168</v>
      </c>
      <c r="C55">
        <v>1193</v>
      </c>
      <c r="D55">
        <v>3</v>
      </c>
      <c r="E55">
        <v>0</v>
      </c>
    </row>
    <row r="56" spans="2:5">
      <c r="B56" t="s">
        <v>4168</v>
      </c>
      <c r="C56">
        <v>1199</v>
      </c>
      <c r="D56">
        <v>3</v>
      </c>
      <c r="E56">
        <v>0</v>
      </c>
    </row>
    <row r="57" spans="2:5">
      <c r="B57" t="s">
        <v>4168</v>
      </c>
      <c r="C57">
        <v>82</v>
      </c>
      <c r="D57">
        <v>0</v>
      </c>
      <c r="E57">
        <v>0</v>
      </c>
    </row>
    <row r="58" spans="2:5">
      <c r="B58" t="s">
        <v>4168</v>
      </c>
      <c r="C58">
        <v>138</v>
      </c>
      <c r="D58">
        <v>1</v>
      </c>
      <c r="E58">
        <v>0</v>
      </c>
    </row>
    <row r="59" spans="2:5">
      <c r="B59" t="s">
        <v>4168</v>
      </c>
      <c r="C59">
        <v>156</v>
      </c>
      <c r="D59">
        <v>0</v>
      </c>
      <c r="E59">
        <v>0</v>
      </c>
    </row>
    <row r="60" spans="2:5">
      <c r="B60" t="s">
        <v>4168</v>
      </c>
      <c r="C60">
        <v>692</v>
      </c>
      <c r="D60">
        <v>6</v>
      </c>
      <c r="E60">
        <v>0</v>
      </c>
    </row>
    <row r="61" spans="2:5">
      <c r="B61" t="s">
        <v>4168</v>
      </c>
      <c r="C61">
        <v>396</v>
      </c>
      <c r="D61">
        <v>5</v>
      </c>
      <c r="E61">
        <v>0</v>
      </c>
    </row>
    <row r="62" spans="2:5">
      <c r="B62" t="s">
        <v>4168</v>
      </c>
      <c r="C62">
        <v>209</v>
      </c>
      <c r="D62">
        <v>2</v>
      </c>
      <c r="E62">
        <v>0</v>
      </c>
    </row>
    <row r="63" spans="2:5">
      <c r="B63" t="s">
        <v>4168</v>
      </c>
      <c r="C63">
        <v>207</v>
      </c>
      <c r="D63">
        <v>1</v>
      </c>
      <c r="E63">
        <v>0</v>
      </c>
    </row>
    <row r="64" spans="2:5">
      <c r="B64" t="s">
        <v>4168</v>
      </c>
      <c r="C64">
        <v>95</v>
      </c>
      <c r="D64">
        <v>1</v>
      </c>
      <c r="E64">
        <v>0</v>
      </c>
    </row>
    <row r="65" spans="2:5">
      <c r="B65" t="s">
        <v>4168</v>
      </c>
      <c r="C65">
        <v>277</v>
      </c>
      <c r="D65">
        <v>0</v>
      </c>
      <c r="E65">
        <v>0</v>
      </c>
    </row>
    <row r="66" spans="2:5">
      <c r="B66" t="s">
        <v>4168</v>
      </c>
      <c r="C66">
        <v>218</v>
      </c>
      <c r="D66">
        <v>2</v>
      </c>
      <c r="E66">
        <v>0</v>
      </c>
    </row>
    <row r="67" spans="2:5">
      <c r="B67" t="s">
        <v>4168</v>
      </c>
      <c r="C67">
        <v>132</v>
      </c>
      <c r="D67">
        <v>1</v>
      </c>
      <c r="E67">
        <v>0</v>
      </c>
    </row>
    <row r="68" spans="2:5">
      <c r="B68" t="s">
        <v>4168</v>
      </c>
      <c r="C68">
        <v>179</v>
      </c>
      <c r="D68">
        <v>3</v>
      </c>
      <c r="E68">
        <v>0</v>
      </c>
    </row>
    <row r="69" spans="2:5">
      <c r="B69" t="s">
        <v>4168</v>
      </c>
      <c r="C69">
        <v>59</v>
      </c>
      <c r="D69">
        <v>0</v>
      </c>
      <c r="E69">
        <v>0</v>
      </c>
    </row>
    <row r="70" spans="2:5">
      <c r="B70" t="s">
        <v>4168</v>
      </c>
      <c r="C70">
        <v>146</v>
      </c>
      <c r="D70">
        <v>0</v>
      </c>
      <c r="E70">
        <v>0</v>
      </c>
    </row>
    <row r="71" spans="2:5">
      <c r="B71" t="s">
        <v>4168</v>
      </c>
      <c r="C71">
        <v>431</v>
      </c>
      <c r="D71">
        <v>5</v>
      </c>
      <c r="E71">
        <v>0</v>
      </c>
    </row>
    <row r="72" spans="2:5">
      <c r="B72" t="s">
        <v>4168</v>
      </c>
      <c r="C72">
        <v>217</v>
      </c>
      <c r="D72">
        <v>2</v>
      </c>
      <c r="E72">
        <v>0</v>
      </c>
    </row>
    <row r="73" spans="2:5">
      <c r="B73" t="s">
        <v>4168</v>
      </c>
      <c r="C73">
        <v>314</v>
      </c>
      <c r="D73">
        <v>0</v>
      </c>
      <c r="E73">
        <v>0</v>
      </c>
    </row>
    <row r="74" spans="2:5">
      <c r="B74" t="s">
        <v>4168</v>
      </c>
      <c r="C74">
        <v>120</v>
      </c>
      <c r="D74">
        <v>0</v>
      </c>
      <c r="E74">
        <v>0</v>
      </c>
    </row>
    <row r="75" spans="2:5">
      <c r="B75" t="s">
        <v>4168</v>
      </c>
      <c r="C75">
        <v>281</v>
      </c>
      <c r="D75">
        <v>4</v>
      </c>
      <c r="E75">
        <v>0</v>
      </c>
    </row>
    <row r="76" spans="2:5">
      <c r="B76" t="s">
        <v>4168</v>
      </c>
      <c r="C76">
        <v>281</v>
      </c>
      <c r="D76">
        <v>4</v>
      </c>
      <c r="E76">
        <v>0</v>
      </c>
    </row>
    <row r="77" spans="2:5">
      <c r="B77" t="s">
        <v>4168</v>
      </c>
      <c r="C77">
        <v>247</v>
      </c>
      <c r="D77">
        <v>12</v>
      </c>
      <c r="E77">
        <v>0</v>
      </c>
    </row>
    <row r="78" spans="2:5">
      <c r="B78" t="s">
        <v>4168</v>
      </c>
      <c r="C78">
        <v>130</v>
      </c>
      <c r="D78">
        <v>3</v>
      </c>
      <c r="E78">
        <v>0</v>
      </c>
    </row>
    <row r="79" spans="2:5">
      <c r="B79" t="s">
        <v>4168</v>
      </c>
      <c r="C79">
        <v>147</v>
      </c>
      <c r="D79">
        <v>9</v>
      </c>
      <c r="E79">
        <v>2</v>
      </c>
    </row>
    <row r="80" spans="2:5">
      <c r="B80" t="s">
        <v>4168</v>
      </c>
      <c r="C80">
        <v>198</v>
      </c>
      <c r="D80">
        <v>3</v>
      </c>
      <c r="E80">
        <v>0</v>
      </c>
    </row>
    <row r="81" spans="2:5">
      <c r="B81" t="s">
        <v>4168</v>
      </c>
      <c r="C81">
        <v>187</v>
      </c>
      <c r="D81">
        <v>2</v>
      </c>
      <c r="E81">
        <v>0</v>
      </c>
    </row>
    <row r="82" spans="2:5">
      <c r="B82" t="s">
        <v>4168</v>
      </c>
      <c r="C82">
        <v>208</v>
      </c>
      <c r="D82">
        <v>8</v>
      </c>
      <c r="E82">
        <v>0</v>
      </c>
    </row>
    <row r="83" spans="2:5">
      <c r="B83" t="s">
        <v>4168</v>
      </c>
      <c r="C83">
        <v>273</v>
      </c>
      <c r="D83">
        <v>0</v>
      </c>
      <c r="E83">
        <v>0</v>
      </c>
    </row>
    <row r="84" spans="2:5">
      <c r="B84" t="s">
        <v>4168</v>
      </c>
      <c r="C84">
        <v>448</v>
      </c>
      <c r="D84">
        <v>2</v>
      </c>
      <c r="E84">
        <v>0</v>
      </c>
    </row>
    <row r="85" spans="2:5">
      <c r="B85" t="s">
        <v>4168</v>
      </c>
      <c r="C85">
        <v>600</v>
      </c>
      <c r="D85">
        <v>8</v>
      </c>
      <c r="E85">
        <v>0</v>
      </c>
    </row>
    <row r="86" spans="2:5">
      <c r="B86" t="s">
        <v>4168</v>
      </c>
      <c r="C86">
        <v>100</v>
      </c>
      <c r="D86">
        <v>2</v>
      </c>
      <c r="E86">
        <v>0</v>
      </c>
    </row>
    <row r="87" spans="2:5">
      <c r="B87" t="s">
        <v>4168</v>
      </c>
      <c r="C87">
        <v>390</v>
      </c>
      <c r="D87">
        <v>16</v>
      </c>
      <c r="E87">
        <v>0</v>
      </c>
    </row>
    <row r="88" spans="2:5">
      <c r="B88" t="s">
        <v>4168</v>
      </c>
      <c r="C88">
        <v>82</v>
      </c>
      <c r="D88">
        <v>4</v>
      </c>
      <c r="E88">
        <v>0</v>
      </c>
    </row>
    <row r="89" spans="2:5">
      <c r="B89" t="s">
        <v>4168</v>
      </c>
      <c r="C89">
        <v>63</v>
      </c>
      <c r="D89">
        <v>4</v>
      </c>
      <c r="E89">
        <v>0</v>
      </c>
    </row>
    <row r="90" spans="2:5">
      <c r="B90" t="s">
        <v>4168</v>
      </c>
      <c r="C90">
        <v>63</v>
      </c>
      <c r="D90">
        <v>4</v>
      </c>
      <c r="E90">
        <v>0</v>
      </c>
    </row>
    <row r="91" spans="2:5">
      <c r="B91" t="s">
        <v>4168</v>
      </c>
      <c r="C91">
        <v>322</v>
      </c>
      <c r="D91">
        <v>7</v>
      </c>
      <c r="E91">
        <v>0</v>
      </c>
    </row>
    <row r="92" spans="2:5">
      <c r="B92" t="s">
        <v>4168</v>
      </c>
      <c r="C92">
        <v>142</v>
      </c>
      <c r="D92">
        <v>6</v>
      </c>
      <c r="E92">
        <v>0</v>
      </c>
    </row>
    <row r="93" spans="2:5">
      <c r="B93" t="s">
        <v>4168</v>
      </c>
      <c r="C93">
        <v>70</v>
      </c>
      <c r="D93">
        <v>0</v>
      </c>
      <c r="E93">
        <v>0</v>
      </c>
    </row>
    <row r="94" spans="2:5">
      <c r="B94" t="s">
        <v>4168</v>
      </c>
      <c r="C94">
        <v>246</v>
      </c>
      <c r="D94">
        <v>11</v>
      </c>
      <c r="E94">
        <v>0</v>
      </c>
    </row>
    <row r="95" spans="2:5">
      <c r="B95" t="s">
        <v>4168</v>
      </c>
      <c r="C95">
        <v>386</v>
      </c>
      <c r="D95">
        <v>20</v>
      </c>
      <c r="E95">
        <v>0</v>
      </c>
    </row>
    <row r="96" spans="2:5">
      <c r="B96" t="s">
        <v>4168</v>
      </c>
      <c r="C96">
        <v>192</v>
      </c>
      <c r="D96">
        <v>2</v>
      </c>
      <c r="E96">
        <v>0</v>
      </c>
    </row>
    <row r="97" spans="2:5">
      <c r="B97" t="s">
        <v>4168</v>
      </c>
      <c r="C97">
        <v>257</v>
      </c>
      <c r="D97">
        <v>8</v>
      </c>
      <c r="E97">
        <v>2</v>
      </c>
    </row>
    <row r="98" spans="2:5">
      <c r="B98" t="s">
        <v>4168</v>
      </c>
      <c r="C98">
        <v>363</v>
      </c>
      <c r="D98">
        <v>3</v>
      </c>
      <c r="E98">
        <v>0</v>
      </c>
    </row>
    <row r="99" spans="2:5">
      <c r="B99" t="s">
        <v>4168</v>
      </c>
      <c r="C99">
        <v>282</v>
      </c>
      <c r="D99">
        <v>6</v>
      </c>
      <c r="E99">
        <v>2</v>
      </c>
    </row>
    <row r="100" spans="2:5">
      <c r="B100" t="s">
        <v>4168</v>
      </c>
      <c r="C100">
        <v>186</v>
      </c>
      <c r="D100">
        <v>5</v>
      </c>
      <c r="E100">
        <v>0</v>
      </c>
    </row>
    <row r="101" spans="2:5">
      <c r="B101" t="s">
        <v>4168</v>
      </c>
      <c r="C101">
        <v>303</v>
      </c>
      <c r="D101">
        <v>14</v>
      </c>
      <c r="E101">
        <v>2</v>
      </c>
    </row>
    <row r="102" spans="2:5">
      <c r="B102" t="s">
        <v>4168</v>
      </c>
      <c r="C102">
        <v>411</v>
      </c>
      <c r="D102">
        <v>5</v>
      </c>
      <c r="E102">
        <v>0</v>
      </c>
    </row>
    <row r="103" spans="2:5">
      <c r="B103" t="s">
        <v>4168</v>
      </c>
      <c r="C103">
        <v>120</v>
      </c>
      <c r="D103">
        <v>6</v>
      </c>
      <c r="E103">
        <v>0</v>
      </c>
    </row>
    <row r="104" spans="2:5">
      <c r="B104" t="s">
        <v>4168</v>
      </c>
      <c r="C104">
        <v>46</v>
      </c>
      <c r="D104">
        <v>2</v>
      </c>
      <c r="E104">
        <v>0</v>
      </c>
    </row>
    <row r="105" spans="2:5">
      <c r="B105" t="s">
        <v>4168</v>
      </c>
      <c r="C105">
        <v>204</v>
      </c>
      <c r="D105">
        <v>7</v>
      </c>
      <c r="E105">
        <v>2</v>
      </c>
    </row>
    <row r="106" spans="2:5">
      <c r="B106" t="s">
        <v>4168</v>
      </c>
      <c r="C106">
        <v>227</v>
      </c>
      <c r="D106">
        <v>6</v>
      </c>
      <c r="E106">
        <v>0</v>
      </c>
    </row>
    <row r="107" spans="2:5">
      <c r="B107" t="s">
        <v>4168</v>
      </c>
      <c r="C107">
        <v>382</v>
      </c>
      <c r="D107">
        <v>9</v>
      </c>
      <c r="E107">
        <v>0</v>
      </c>
    </row>
    <row r="108" spans="2:5">
      <c r="B108" t="s">
        <v>4168</v>
      </c>
      <c r="C108">
        <v>316</v>
      </c>
      <c r="D108">
        <v>6</v>
      </c>
      <c r="E108">
        <v>0</v>
      </c>
    </row>
    <row r="109" spans="2:5">
      <c r="B109" t="s">
        <v>4168</v>
      </c>
      <c r="C109">
        <v>315</v>
      </c>
      <c r="D109">
        <v>8</v>
      </c>
      <c r="E109">
        <v>0</v>
      </c>
    </row>
    <row r="110" spans="2:5">
      <c r="B110" t="s">
        <v>4168</v>
      </c>
      <c r="C110">
        <v>257</v>
      </c>
      <c r="D110">
        <v>11</v>
      </c>
      <c r="E110">
        <v>2</v>
      </c>
    </row>
    <row r="111" spans="2:5">
      <c r="B111" t="s">
        <v>4168</v>
      </c>
      <c r="C111">
        <v>140</v>
      </c>
      <c r="D111">
        <v>5</v>
      </c>
      <c r="E111">
        <v>2</v>
      </c>
    </row>
    <row r="112" spans="2:5">
      <c r="B112" t="s">
        <v>4168</v>
      </c>
      <c r="C112">
        <v>144</v>
      </c>
      <c r="D112">
        <v>3</v>
      </c>
      <c r="E112">
        <v>0</v>
      </c>
    </row>
    <row r="113" spans="2:5">
      <c r="B113" t="s">
        <v>4168</v>
      </c>
      <c r="C113">
        <v>123</v>
      </c>
      <c r="D113">
        <v>6</v>
      </c>
      <c r="E113">
        <v>4</v>
      </c>
    </row>
    <row r="114" spans="2:5">
      <c r="B114" t="s">
        <v>4168</v>
      </c>
      <c r="C114">
        <v>421</v>
      </c>
      <c r="D114">
        <v>6</v>
      </c>
      <c r="E114">
        <v>2</v>
      </c>
    </row>
    <row r="115" spans="2:5">
      <c r="B115" t="s">
        <v>4168</v>
      </c>
      <c r="C115">
        <v>111</v>
      </c>
      <c r="D115">
        <v>2</v>
      </c>
      <c r="E115">
        <v>0</v>
      </c>
    </row>
    <row r="116" spans="2:5">
      <c r="B116" t="s">
        <v>4168</v>
      </c>
      <c r="C116">
        <v>354</v>
      </c>
      <c r="D116">
        <v>9</v>
      </c>
      <c r="E116">
        <v>0</v>
      </c>
    </row>
    <row r="117" spans="2:5">
      <c r="B117" t="s">
        <v>4168</v>
      </c>
      <c r="C117">
        <v>511</v>
      </c>
      <c r="D117">
        <v>6</v>
      </c>
      <c r="E117">
        <v>0</v>
      </c>
    </row>
    <row r="118" spans="2:5">
      <c r="B118" t="s">
        <v>4168</v>
      </c>
      <c r="C118">
        <v>335</v>
      </c>
      <c r="D118">
        <v>5</v>
      </c>
      <c r="E118">
        <v>0</v>
      </c>
    </row>
    <row r="119" spans="2:5">
      <c r="B119" t="s">
        <v>4168</v>
      </c>
      <c r="C119">
        <v>262</v>
      </c>
      <c r="D119">
        <v>4</v>
      </c>
      <c r="E119">
        <v>0</v>
      </c>
    </row>
    <row r="120" spans="2:5">
      <c r="B120" t="s">
        <v>4168</v>
      </c>
      <c r="C120">
        <v>199</v>
      </c>
      <c r="D120">
        <v>4</v>
      </c>
      <c r="E120">
        <v>0</v>
      </c>
    </row>
    <row r="121" spans="2:5">
      <c r="B121" t="s">
        <v>4168</v>
      </c>
      <c r="C121">
        <v>150</v>
      </c>
      <c r="D121">
        <v>6</v>
      </c>
      <c r="E121">
        <v>0</v>
      </c>
    </row>
    <row r="122" spans="2:5">
      <c r="B122" t="s">
        <v>4168</v>
      </c>
      <c r="C122">
        <v>66</v>
      </c>
      <c r="D122">
        <v>3</v>
      </c>
      <c r="E122">
        <v>0</v>
      </c>
    </row>
    <row r="123" spans="2:5">
      <c r="B123" t="s">
        <v>4168</v>
      </c>
      <c r="C123">
        <v>237</v>
      </c>
      <c r="D123">
        <v>7</v>
      </c>
      <c r="E123">
        <v>0</v>
      </c>
    </row>
    <row r="124" spans="2:5">
      <c r="B124" t="s">
        <v>4168</v>
      </c>
      <c r="C124">
        <v>151</v>
      </c>
      <c r="D124">
        <v>6</v>
      </c>
      <c r="E124">
        <v>0</v>
      </c>
    </row>
    <row r="125" spans="2:5">
      <c r="B125" t="s">
        <v>4168</v>
      </c>
      <c r="C125">
        <v>170</v>
      </c>
      <c r="D125">
        <v>3</v>
      </c>
      <c r="E125">
        <v>0</v>
      </c>
    </row>
    <row r="126" spans="2:5">
      <c r="B126" t="s">
        <v>4168</v>
      </c>
      <c r="C126">
        <v>215</v>
      </c>
      <c r="D126">
        <v>1</v>
      </c>
      <c r="E126">
        <v>0</v>
      </c>
    </row>
    <row r="127" spans="2:5">
      <c r="B127" t="s">
        <v>4168</v>
      </c>
      <c r="C127">
        <v>57</v>
      </c>
      <c r="D127">
        <v>1</v>
      </c>
      <c r="E127">
        <v>0</v>
      </c>
    </row>
    <row r="128" spans="2:5">
      <c r="B128" t="s">
        <v>4168</v>
      </c>
      <c r="C128">
        <v>544</v>
      </c>
      <c r="D128">
        <v>3</v>
      </c>
      <c r="E128">
        <v>0</v>
      </c>
    </row>
    <row r="129" spans="2:5">
      <c r="B129" t="s">
        <v>4168</v>
      </c>
      <c r="C129">
        <v>123</v>
      </c>
      <c r="D129">
        <v>1</v>
      </c>
      <c r="E129">
        <v>0</v>
      </c>
    </row>
    <row r="130" spans="2:5">
      <c r="B130" t="s">
        <v>4168</v>
      </c>
      <c r="C130">
        <v>513</v>
      </c>
      <c r="D130">
        <v>10</v>
      </c>
      <c r="E130">
        <v>2</v>
      </c>
    </row>
    <row r="131" spans="2:5">
      <c r="B131" t="s">
        <v>4168</v>
      </c>
      <c r="C131">
        <v>513</v>
      </c>
      <c r="D131">
        <v>10</v>
      </c>
      <c r="E131">
        <v>2</v>
      </c>
    </row>
    <row r="132" spans="2:5">
      <c r="B132" t="s">
        <v>4168</v>
      </c>
      <c r="C132">
        <v>55</v>
      </c>
      <c r="D132">
        <v>1</v>
      </c>
      <c r="E132">
        <v>0</v>
      </c>
    </row>
    <row r="133" spans="2:5">
      <c r="B133" t="s">
        <v>4168</v>
      </c>
      <c r="C133">
        <v>184</v>
      </c>
      <c r="D133">
        <v>5</v>
      </c>
      <c r="E133">
        <v>0</v>
      </c>
    </row>
    <row r="134" spans="2:5">
      <c r="B134" t="s">
        <v>4168</v>
      </c>
      <c r="C134">
        <v>65</v>
      </c>
      <c r="D134">
        <v>1</v>
      </c>
      <c r="E134">
        <v>0</v>
      </c>
    </row>
    <row r="135" spans="2:5">
      <c r="B135" t="s">
        <v>4168</v>
      </c>
      <c r="C135">
        <v>162</v>
      </c>
      <c r="D135">
        <v>5</v>
      </c>
      <c r="E135">
        <v>0</v>
      </c>
    </row>
    <row r="136" spans="2:5">
      <c r="B136" t="s">
        <v>4168</v>
      </c>
      <c r="C136">
        <v>380</v>
      </c>
      <c r="D136">
        <v>29</v>
      </c>
      <c r="E136">
        <v>8</v>
      </c>
    </row>
    <row r="137" spans="2:5">
      <c r="B137" t="s">
        <v>4168</v>
      </c>
      <c r="C137">
        <v>431</v>
      </c>
      <c r="D137">
        <v>5</v>
      </c>
      <c r="E137">
        <v>2</v>
      </c>
    </row>
    <row r="138" spans="2:5">
      <c r="B138" t="s">
        <v>4168</v>
      </c>
      <c r="C138">
        <v>431</v>
      </c>
      <c r="D138">
        <v>5</v>
      </c>
      <c r="E138">
        <v>2</v>
      </c>
    </row>
    <row r="139" spans="2:5">
      <c r="B139" t="s">
        <v>4168</v>
      </c>
      <c r="C139">
        <v>241</v>
      </c>
      <c r="D139">
        <v>11</v>
      </c>
      <c r="E139">
        <v>2</v>
      </c>
    </row>
    <row r="140" spans="2:5">
      <c r="B140" t="s">
        <v>4168</v>
      </c>
      <c r="C140">
        <v>84</v>
      </c>
      <c r="D140">
        <v>1</v>
      </c>
      <c r="E140">
        <v>0</v>
      </c>
    </row>
    <row r="141" spans="2:5">
      <c r="B141" t="s">
        <v>4168</v>
      </c>
      <c r="C141">
        <v>227</v>
      </c>
      <c r="D141">
        <v>5</v>
      </c>
      <c r="E141">
        <v>0</v>
      </c>
    </row>
    <row r="142" spans="2:5">
      <c r="B142" t="s">
        <v>4168</v>
      </c>
      <c r="C142">
        <v>580</v>
      </c>
      <c r="D142">
        <v>11</v>
      </c>
      <c r="E142">
        <v>0</v>
      </c>
    </row>
    <row r="143" spans="2:5">
      <c r="B143" t="s">
        <v>4168</v>
      </c>
      <c r="C143">
        <v>331</v>
      </c>
      <c r="D143">
        <v>16</v>
      </c>
      <c r="E143">
        <v>2</v>
      </c>
    </row>
    <row r="144" spans="2:5">
      <c r="B144" t="s">
        <v>4168</v>
      </c>
      <c r="C144">
        <v>104</v>
      </c>
      <c r="D144">
        <v>0</v>
      </c>
      <c r="E144">
        <v>0</v>
      </c>
    </row>
    <row r="145" spans="2:5">
      <c r="B145" t="s">
        <v>4168</v>
      </c>
      <c r="C145">
        <v>96</v>
      </c>
      <c r="D145">
        <v>0</v>
      </c>
      <c r="E145">
        <v>0</v>
      </c>
    </row>
    <row r="146" spans="2:5">
      <c r="B146" t="s">
        <v>4168</v>
      </c>
      <c r="C146">
        <v>485</v>
      </c>
      <c r="D146">
        <v>4</v>
      </c>
      <c r="E146">
        <v>0</v>
      </c>
    </row>
    <row r="147" spans="2:5">
      <c r="B147" t="s">
        <v>4168</v>
      </c>
      <c r="C147">
        <v>476</v>
      </c>
      <c r="D147">
        <v>1</v>
      </c>
      <c r="E147">
        <v>0</v>
      </c>
    </row>
    <row r="148" spans="2:5">
      <c r="B148" t="s">
        <v>4168</v>
      </c>
      <c r="C148">
        <v>303</v>
      </c>
      <c r="D148">
        <v>4</v>
      </c>
      <c r="E148">
        <v>0</v>
      </c>
    </row>
    <row r="149" spans="2:5">
      <c r="B149" t="s">
        <v>4168</v>
      </c>
      <c r="C149">
        <v>189</v>
      </c>
      <c r="D149">
        <v>2</v>
      </c>
      <c r="E149">
        <v>0</v>
      </c>
    </row>
    <row r="150" spans="2:5">
      <c r="B150" t="s">
        <v>4168</v>
      </c>
      <c r="C150">
        <v>309</v>
      </c>
      <c r="D150">
        <v>6</v>
      </c>
      <c r="E150">
        <v>0</v>
      </c>
    </row>
    <row r="151" spans="2:5">
      <c r="B151" t="s">
        <v>4168</v>
      </c>
      <c r="C151">
        <v>217</v>
      </c>
      <c r="D151">
        <v>11</v>
      </c>
      <c r="E151">
        <v>2</v>
      </c>
    </row>
    <row r="152" spans="2:5">
      <c r="B152" t="s">
        <v>4168</v>
      </c>
      <c r="C152">
        <v>502</v>
      </c>
      <c r="D152">
        <v>22</v>
      </c>
      <c r="E152">
        <v>0</v>
      </c>
    </row>
    <row r="153" spans="2:5">
      <c r="B153" t="s">
        <v>4168</v>
      </c>
      <c r="C153">
        <v>318</v>
      </c>
      <c r="D153">
        <v>6</v>
      </c>
      <c r="E153">
        <v>0</v>
      </c>
    </row>
    <row r="154" spans="2:5">
      <c r="B154" t="s">
        <v>4168</v>
      </c>
      <c r="C154">
        <v>295</v>
      </c>
      <c r="D154">
        <v>2</v>
      </c>
      <c r="E154">
        <v>0</v>
      </c>
    </row>
    <row r="155" spans="2:5">
      <c r="B155" t="s">
        <v>4168</v>
      </c>
      <c r="C155">
        <v>55</v>
      </c>
      <c r="D155">
        <v>3</v>
      </c>
      <c r="E155">
        <v>0</v>
      </c>
    </row>
    <row r="156" spans="2:5">
      <c r="B156" t="s">
        <v>4168</v>
      </c>
      <c r="C156">
        <v>254</v>
      </c>
      <c r="D156">
        <v>8</v>
      </c>
      <c r="E156">
        <v>0</v>
      </c>
    </row>
    <row r="157" spans="2:5">
      <c r="B157" t="s">
        <v>4168</v>
      </c>
      <c r="C157">
        <v>140</v>
      </c>
      <c r="D157">
        <v>3</v>
      </c>
      <c r="E157">
        <v>0</v>
      </c>
    </row>
    <row r="158" spans="2:5">
      <c r="B158" t="s">
        <v>4168</v>
      </c>
      <c r="C158">
        <v>478</v>
      </c>
      <c r="D158">
        <v>12</v>
      </c>
      <c r="E158">
        <v>0</v>
      </c>
    </row>
    <row r="159" spans="2:5">
      <c r="B159" t="s">
        <v>4168</v>
      </c>
      <c r="C159">
        <v>433</v>
      </c>
      <c r="D159">
        <v>3</v>
      </c>
      <c r="E159">
        <v>0</v>
      </c>
    </row>
    <row r="160" spans="2:5">
      <c r="B160" t="s">
        <v>4168</v>
      </c>
      <c r="C160">
        <v>433</v>
      </c>
      <c r="D160">
        <v>3</v>
      </c>
      <c r="E160">
        <v>0</v>
      </c>
    </row>
    <row r="161" spans="2:5">
      <c r="B161" t="s">
        <v>4168</v>
      </c>
      <c r="C161">
        <v>61</v>
      </c>
      <c r="D161">
        <v>0</v>
      </c>
      <c r="E161">
        <v>0</v>
      </c>
    </row>
    <row r="162" spans="2:5">
      <c r="B162" t="s">
        <v>4168</v>
      </c>
      <c r="C162">
        <v>88</v>
      </c>
      <c r="D162">
        <v>4</v>
      </c>
      <c r="E162">
        <v>0</v>
      </c>
    </row>
    <row r="163" spans="2:5">
      <c r="B163" t="s">
        <v>4168</v>
      </c>
      <c r="C163">
        <v>254</v>
      </c>
      <c r="D163">
        <v>13</v>
      </c>
      <c r="E163">
        <v>2</v>
      </c>
    </row>
    <row r="164" spans="2:5">
      <c r="B164" t="s">
        <v>4168</v>
      </c>
      <c r="C164">
        <v>114</v>
      </c>
      <c r="D164">
        <v>6</v>
      </c>
      <c r="E164">
        <v>2</v>
      </c>
    </row>
    <row r="165" spans="2:5">
      <c r="B165" t="s">
        <v>4168</v>
      </c>
      <c r="C165">
        <v>176</v>
      </c>
      <c r="D165">
        <v>0</v>
      </c>
      <c r="E165">
        <v>0</v>
      </c>
    </row>
    <row r="166" spans="2:5">
      <c r="B166" t="s">
        <v>4168</v>
      </c>
      <c r="C166">
        <v>145</v>
      </c>
      <c r="D166">
        <v>0</v>
      </c>
      <c r="E166">
        <v>0</v>
      </c>
    </row>
    <row r="167" spans="2:5">
      <c r="B167" t="s">
        <v>4168</v>
      </c>
      <c r="C167">
        <v>89</v>
      </c>
      <c r="D167">
        <v>5</v>
      </c>
      <c r="E167">
        <v>0</v>
      </c>
    </row>
    <row r="168" spans="2:5">
      <c r="B168" t="s">
        <v>4168</v>
      </c>
      <c r="C168">
        <v>89</v>
      </c>
      <c r="D168">
        <v>5</v>
      </c>
      <c r="E168">
        <v>0</v>
      </c>
    </row>
    <row r="169" spans="2:5">
      <c r="B169" t="s">
        <v>4168</v>
      </c>
      <c r="C169">
        <v>160</v>
      </c>
      <c r="D169">
        <v>4</v>
      </c>
      <c r="E169">
        <v>2</v>
      </c>
    </row>
    <row r="170" spans="2:5">
      <c r="B170" t="s">
        <v>4168</v>
      </c>
      <c r="C170">
        <v>631</v>
      </c>
      <c r="D170">
        <v>4</v>
      </c>
      <c r="E170">
        <v>0</v>
      </c>
    </row>
    <row r="171" spans="2:5">
      <c r="B171" t="s">
        <v>4168</v>
      </c>
      <c r="C171">
        <v>392</v>
      </c>
      <c r="D171">
        <v>3</v>
      </c>
      <c r="E171">
        <v>0</v>
      </c>
    </row>
    <row r="172" spans="2:5">
      <c r="B172" t="s">
        <v>4168</v>
      </c>
      <c r="C172">
        <v>124</v>
      </c>
      <c r="D172">
        <v>10</v>
      </c>
      <c r="E172">
        <v>0</v>
      </c>
    </row>
    <row r="173" spans="2:5">
      <c r="B173" t="s">
        <v>4168</v>
      </c>
      <c r="C173">
        <v>131</v>
      </c>
      <c r="D173">
        <v>11</v>
      </c>
      <c r="E173">
        <v>2</v>
      </c>
    </row>
    <row r="174" spans="2:5">
      <c r="B174" t="s">
        <v>4168</v>
      </c>
      <c r="C174">
        <v>513</v>
      </c>
      <c r="D174">
        <v>3</v>
      </c>
      <c r="E174">
        <v>0</v>
      </c>
    </row>
    <row r="175" spans="2:5">
      <c r="B175" t="s">
        <v>4168</v>
      </c>
      <c r="C175">
        <v>274</v>
      </c>
      <c r="D175">
        <v>2</v>
      </c>
      <c r="E175">
        <v>0</v>
      </c>
    </row>
    <row r="176" spans="2:5">
      <c r="B176" t="s">
        <v>4168</v>
      </c>
      <c r="C176">
        <v>199</v>
      </c>
      <c r="D176">
        <v>8</v>
      </c>
      <c r="E176">
        <v>0</v>
      </c>
    </row>
    <row r="177" spans="2:5">
      <c r="B177" t="s">
        <v>4168</v>
      </c>
      <c r="C177">
        <v>35</v>
      </c>
      <c r="D177">
        <v>2</v>
      </c>
      <c r="E177">
        <v>0</v>
      </c>
    </row>
    <row r="178" spans="2:5">
      <c r="B178" t="s">
        <v>4168</v>
      </c>
      <c r="C178">
        <v>117</v>
      </c>
      <c r="D178">
        <v>1</v>
      </c>
      <c r="E178">
        <v>0</v>
      </c>
    </row>
    <row r="179" spans="2:5">
      <c r="B179" t="s">
        <v>4168</v>
      </c>
      <c r="C179">
        <v>113</v>
      </c>
      <c r="D179">
        <v>4</v>
      </c>
      <c r="E179">
        <v>0</v>
      </c>
    </row>
    <row r="180" spans="2:5">
      <c r="B180" t="s">
        <v>4168</v>
      </c>
      <c r="C180">
        <v>63</v>
      </c>
      <c r="D180">
        <v>5</v>
      </c>
      <c r="E180">
        <v>2</v>
      </c>
    </row>
    <row r="181" spans="2:5">
      <c r="B181" t="s">
        <v>4168</v>
      </c>
      <c r="C181">
        <v>247</v>
      </c>
      <c r="D181">
        <v>3</v>
      </c>
      <c r="E181">
        <v>0</v>
      </c>
    </row>
    <row r="182" spans="2:5">
      <c r="B182" t="s">
        <v>4168</v>
      </c>
      <c r="C182">
        <v>353</v>
      </c>
      <c r="D182">
        <v>12</v>
      </c>
      <c r="E182">
        <v>0</v>
      </c>
    </row>
    <row r="183" spans="2:5">
      <c r="B183" t="s">
        <v>4168</v>
      </c>
      <c r="C183">
        <v>244</v>
      </c>
      <c r="D183">
        <v>8</v>
      </c>
      <c r="E183">
        <v>0</v>
      </c>
    </row>
    <row r="184" spans="2:5">
      <c r="B184" t="s">
        <v>4168</v>
      </c>
      <c r="C184">
        <v>207</v>
      </c>
      <c r="D184">
        <v>8</v>
      </c>
      <c r="E184">
        <v>2</v>
      </c>
    </row>
    <row r="185" spans="2:5">
      <c r="B185" t="s">
        <v>4168</v>
      </c>
      <c r="C185">
        <v>168</v>
      </c>
      <c r="D185">
        <v>6</v>
      </c>
      <c r="E185">
        <v>0</v>
      </c>
    </row>
    <row r="186" spans="2:5">
      <c r="B186" t="s">
        <v>4168</v>
      </c>
      <c r="C186">
        <v>329</v>
      </c>
      <c r="D186">
        <v>22</v>
      </c>
      <c r="E186">
        <v>4</v>
      </c>
    </row>
    <row r="187" spans="2:5">
      <c r="B187" t="s">
        <v>4168</v>
      </c>
      <c r="C187">
        <v>301</v>
      </c>
      <c r="D187">
        <v>9</v>
      </c>
      <c r="E187">
        <v>0</v>
      </c>
    </row>
    <row r="188" spans="2:5">
      <c r="B188" t="s">
        <v>4168</v>
      </c>
      <c r="C188">
        <v>118</v>
      </c>
      <c r="D188">
        <v>5</v>
      </c>
      <c r="E188">
        <v>0</v>
      </c>
    </row>
    <row r="189" spans="2:5">
      <c r="B189" t="s">
        <v>4168</v>
      </c>
      <c r="C189">
        <v>287</v>
      </c>
      <c r="D189">
        <v>8</v>
      </c>
      <c r="E189">
        <v>0</v>
      </c>
    </row>
    <row r="190" spans="2:5">
      <c r="B190" t="s">
        <v>4168</v>
      </c>
      <c r="C190">
        <v>280</v>
      </c>
      <c r="D190">
        <v>3</v>
      </c>
      <c r="E190">
        <v>0</v>
      </c>
    </row>
    <row r="191" spans="2:5">
      <c r="B191" t="s">
        <v>4168</v>
      </c>
      <c r="C191">
        <v>63</v>
      </c>
      <c r="D191">
        <v>0</v>
      </c>
      <c r="E191">
        <v>0</v>
      </c>
    </row>
    <row r="192" spans="2:5">
      <c r="B192" t="s">
        <v>4168</v>
      </c>
      <c r="C192">
        <v>328</v>
      </c>
      <c r="D192">
        <v>6</v>
      </c>
      <c r="E192">
        <v>0</v>
      </c>
    </row>
    <row r="193" spans="2:5">
      <c r="B193" t="s">
        <v>4168</v>
      </c>
      <c r="C193">
        <v>250</v>
      </c>
      <c r="D193">
        <v>5</v>
      </c>
      <c r="E193">
        <v>0</v>
      </c>
    </row>
    <row r="194" spans="2:5">
      <c r="B194" t="s">
        <v>4168</v>
      </c>
      <c r="C194">
        <v>311</v>
      </c>
      <c r="D194">
        <v>3</v>
      </c>
      <c r="E194">
        <v>0</v>
      </c>
    </row>
    <row r="195" spans="2:5">
      <c r="B195" t="s">
        <v>4168</v>
      </c>
      <c r="C195">
        <v>305</v>
      </c>
      <c r="D195">
        <v>3</v>
      </c>
      <c r="E195">
        <v>0</v>
      </c>
    </row>
    <row r="196" spans="2:5">
      <c r="B196" t="s">
        <v>4168</v>
      </c>
      <c r="C196">
        <v>358</v>
      </c>
      <c r="D196">
        <v>5</v>
      </c>
      <c r="E196">
        <v>0</v>
      </c>
    </row>
    <row r="197" spans="2:5">
      <c r="B197" t="s">
        <v>4168</v>
      </c>
      <c r="C197">
        <v>305</v>
      </c>
      <c r="D197">
        <v>4</v>
      </c>
      <c r="E197">
        <v>0</v>
      </c>
    </row>
    <row r="198" spans="2:5">
      <c r="B198" t="s">
        <v>4168</v>
      </c>
      <c r="C198">
        <v>192</v>
      </c>
      <c r="D198">
        <v>2</v>
      </c>
      <c r="E198">
        <v>0</v>
      </c>
    </row>
    <row r="199" spans="2:5">
      <c r="B199" t="s">
        <v>4168</v>
      </c>
      <c r="C199">
        <v>131</v>
      </c>
      <c r="D199">
        <v>3</v>
      </c>
      <c r="E199">
        <v>2</v>
      </c>
    </row>
    <row r="200" spans="2:5">
      <c r="B200" t="s">
        <v>4168</v>
      </c>
      <c r="C200">
        <v>218</v>
      </c>
      <c r="D200">
        <v>5</v>
      </c>
      <c r="E200">
        <v>0</v>
      </c>
    </row>
    <row r="201" spans="2:5">
      <c r="B201" t="s">
        <v>4168</v>
      </c>
      <c r="C201">
        <v>122</v>
      </c>
      <c r="D201">
        <v>9</v>
      </c>
      <c r="E201">
        <v>2</v>
      </c>
    </row>
    <row r="202" spans="2:5">
      <c r="B202" t="s">
        <v>4168</v>
      </c>
      <c r="C202">
        <v>211</v>
      </c>
      <c r="D202">
        <v>2</v>
      </c>
      <c r="E202">
        <v>0</v>
      </c>
    </row>
    <row r="203" spans="2:5">
      <c r="B203" t="s">
        <v>4168</v>
      </c>
      <c r="C203">
        <v>266</v>
      </c>
      <c r="D203">
        <v>1</v>
      </c>
      <c r="E203">
        <v>0</v>
      </c>
    </row>
    <row r="204" spans="2:5">
      <c r="B204" t="s">
        <v>4168</v>
      </c>
      <c r="C204">
        <v>84</v>
      </c>
      <c r="D204">
        <v>3</v>
      </c>
      <c r="E204">
        <v>0</v>
      </c>
    </row>
    <row r="205" spans="2:5">
      <c r="B205" t="s">
        <v>4168</v>
      </c>
      <c r="C205">
        <v>140</v>
      </c>
      <c r="D205">
        <v>2</v>
      </c>
      <c r="E205">
        <v>0</v>
      </c>
    </row>
    <row r="206" spans="2:5">
      <c r="B206" t="s">
        <v>4168</v>
      </c>
      <c r="C206">
        <v>140</v>
      </c>
      <c r="D206">
        <v>2</v>
      </c>
      <c r="E206">
        <v>0</v>
      </c>
    </row>
    <row r="207" spans="2:5">
      <c r="B207" t="s">
        <v>4168</v>
      </c>
      <c r="C207">
        <v>392</v>
      </c>
      <c r="D207">
        <v>4</v>
      </c>
      <c r="E207">
        <v>0</v>
      </c>
    </row>
    <row r="208" spans="2:5">
      <c r="B208" t="s">
        <v>4168</v>
      </c>
      <c r="C208">
        <v>459</v>
      </c>
      <c r="D208">
        <v>11</v>
      </c>
      <c r="E208">
        <v>0</v>
      </c>
    </row>
    <row r="209" spans="2:5">
      <c r="B209" t="s">
        <v>4168</v>
      </c>
      <c r="C209">
        <v>423</v>
      </c>
      <c r="D209">
        <v>13</v>
      </c>
      <c r="E209">
        <v>0</v>
      </c>
    </row>
    <row r="210" spans="2:5">
      <c r="B210" t="s">
        <v>4168</v>
      </c>
      <c r="C210">
        <v>378</v>
      </c>
      <c r="D210">
        <v>2</v>
      </c>
      <c r="E210">
        <v>0</v>
      </c>
    </row>
    <row r="211" spans="2:5">
      <c r="B211" t="s">
        <v>4168</v>
      </c>
      <c r="C211">
        <v>275</v>
      </c>
      <c r="D211">
        <v>10</v>
      </c>
      <c r="E211">
        <v>2</v>
      </c>
    </row>
    <row r="212" spans="2:5">
      <c r="B212" t="s">
        <v>4168</v>
      </c>
      <c r="C212">
        <v>311</v>
      </c>
      <c r="D212">
        <v>1</v>
      </c>
      <c r="E212">
        <v>0</v>
      </c>
    </row>
    <row r="213" spans="2:5">
      <c r="B213" t="s">
        <v>4168</v>
      </c>
      <c r="C213">
        <v>323</v>
      </c>
      <c r="D213">
        <v>9</v>
      </c>
      <c r="E213">
        <v>0</v>
      </c>
    </row>
    <row r="214" spans="2:5">
      <c r="B214" t="s">
        <v>4168</v>
      </c>
      <c r="C214">
        <v>308</v>
      </c>
      <c r="D214">
        <v>6</v>
      </c>
      <c r="E214">
        <v>0</v>
      </c>
    </row>
    <row r="215" spans="2:5">
      <c r="B215" t="s">
        <v>4168</v>
      </c>
      <c r="C215">
        <v>172</v>
      </c>
      <c r="D215">
        <v>2</v>
      </c>
      <c r="E215">
        <v>0</v>
      </c>
    </row>
    <row r="216" spans="2:5">
      <c r="B216" t="s">
        <v>4168</v>
      </c>
      <c r="C216">
        <v>51</v>
      </c>
      <c r="D216">
        <v>2</v>
      </c>
      <c r="E216">
        <v>0</v>
      </c>
    </row>
    <row r="217" spans="2:5">
      <c r="B217" t="s">
        <v>4168</v>
      </c>
      <c r="C217">
        <v>154</v>
      </c>
      <c r="D217">
        <v>2</v>
      </c>
      <c r="E217">
        <v>2</v>
      </c>
    </row>
    <row r="218" spans="2:5">
      <c r="B218" t="s">
        <v>4168</v>
      </c>
      <c r="C218">
        <v>251</v>
      </c>
      <c r="D218">
        <v>4</v>
      </c>
      <c r="E218">
        <v>2</v>
      </c>
    </row>
    <row r="219" spans="2:5">
      <c r="B219" t="s">
        <v>4168</v>
      </c>
      <c r="C219">
        <v>85</v>
      </c>
      <c r="D219">
        <v>0</v>
      </c>
      <c r="E219">
        <v>0</v>
      </c>
    </row>
    <row r="220" spans="2:5">
      <c r="B220" t="s">
        <v>4168</v>
      </c>
      <c r="C220">
        <v>145</v>
      </c>
      <c r="D220">
        <v>2</v>
      </c>
      <c r="E220">
        <v>0</v>
      </c>
    </row>
    <row r="221" spans="2:5">
      <c r="B221" t="s">
        <v>4168</v>
      </c>
      <c r="C221">
        <v>149</v>
      </c>
      <c r="D221">
        <v>3</v>
      </c>
      <c r="E221">
        <v>2</v>
      </c>
    </row>
    <row r="222" spans="2:5">
      <c r="B222" t="s">
        <v>4168</v>
      </c>
      <c r="C222">
        <v>399</v>
      </c>
      <c r="D222">
        <v>30</v>
      </c>
      <c r="E222">
        <v>4</v>
      </c>
    </row>
    <row r="223" spans="2:5">
      <c r="B223" t="s">
        <v>4168</v>
      </c>
      <c r="C223">
        <v>288</v>
      </c>
      <c r="D223">
        <v>1</v>
      </c>
      <c r="E223">
        <v>0</v>
      </c>
    </row>
    <row r="224" spans="2:5">
      <c r="B224" t="s">
        <v>4168</v>
      </c>
      <c r="C224">
        <v>699</v>
      </c>
      <c r="D224">
        <v>11</v>
      </c>
      <c r="E224">
        <v>0</v>
      </c>
    </row>
    <row r="225" spans="2:5">
      <c r="B225" t="s">
        <v>4168</v>
      </c>
      <c r="C225">
        <v>570</v>
      </c>
      <c r="D225">
        <v>2</v>
      </c>
      <c r="E225">
        <v>0</v>
      </c>
    </row>
    <row r="226" spans="2:5">
      <c r="B226" t="s">
        <v>4168</v>
      </c>
      <c r="C226">
        <v>606</v>
      </c>
      <c r="D226">
        <v>13</v>
      </c>
      <c r="E226">
        <v>2</v>
      </c>
    </row>
    <row r="227" spans="2:5">
      <c r="B227" t="s">
        <v>4168</v>
      </c>
      <c r="C227">
        <v>79</v>
      </c>
      <c r="D227">
        <v>0</v>
      </c>
      <c r="E227">
        <v>0</v>
      </c>
    </row>
    <row r="228" spans="2:5">
      <c r="B228" t="s">
        <v>4168</v>
      </c>
      <c r="C228">
        <v>172</v>
      </c>
      <c r="D228">
        <v>3</v>
      </c>
      <c r="E228">
        <v>0</v>
      </c>
    </row>
    <row r="229" spans="2:5">
      <c r="B229" t="s">
        <v>4168</v>
      </c>
      <c r="C229">
        <v>236</v>
      </c>
      <c r="D229">
        <v>2</v>
      </c>
      <c r="E229">
        <v>0</v>
      </c>
    </row>
    <row r="230" spans="2:5">
      <c r="B230" t="s">
        <v>4168</v>
      </c>
      <c r="C230">
        <v>81</v>
      </c>
      <c r="D230">
        <v>2</v>
      </c>
      <c r="E230">
        <v>0</v>
      </c>
    </row>
    <row r="231" spans="2:5">
      <c r="B231" t="s">
        <v>4168</v>
      </c>
      <c r="C231">
        <v>230</v>
      </c>
      <c r="D231">
        <v>8</v>
      </c>
      <c r="E231">
        <v>0</v>
      </c>
    </row>
    <row r="232" spans="2:5">
      <c r="B232" t="s">
        <v>4168</v>
      </c>
      <c r="C232">
        <v>251</v>
      </c>
      <c r="D232">
        <v>6</v>
      </c>
      <c r="E232">
        <v>0</v>
      </c>
    </row>
    <row r="233" spans="2:5">
      <c r="B233" t="s">
        <v>4168</v>
      </c>
      <c r="C233">
        <v>303</v>
      </c>
      <c r="D233">
        <v>7</v>
      </c>
      <c r="E233">
        <v>2</v>
      </c>
    </row>
    <row r="234" spans="2:5">
      <c r="B234" t="s">
        <v>4168</v>
      </c>
      <c r="C234">
        <v>193</v>
      </c>
      <c r="D234">
        <v>3</v>
      </c>
      <c r="E234">
        <v>0</v>
      </c>
    </row>
    <row r="235" spans="2:5">
      <c r="B235" t="s">
        <v>4168</v>
      </c>
      <c r="C235">
        <v>540</v>
      </c>
      <c r="D235">
        <v>5</v>
      </c>
      <c r="E235">
        <v>0</v>
      </c>
    </row>
    <row r="236" spans="2:5">
      <c r="B236" t="s">
        <v>4168</v>
      </c>
      <c r="C236">
        <v>428</v>
      </c>
      <c r="D236">
        <v>10</v>
      </c>
      <c r="E236">
        <v>0</v>
      </c>
    </row>
    <row r="237" spans="2:5">
      <c r="B237" t="s">
        <v>4168</v>
      </c>
      <c r="C237">
        <v>371</v>
      </c>
      <c r="D237">
        <v>0</v>
      </c>
      <c r="E237">
        <v>0</v>
      </c>
    </row>
    <row r="238" spans="2:5">
      <c r="B238" t="s">
        <v>4168</v>
      </c>
      <c r="C238">
        <v>325</v>
      </c>
      <c r="D238">
        <v>2</v>
      </c>
      <c r="E238">
        <v>0</v>
      </c>
    </row>
    <row r="239" spans="2:5">
      <c r="B239" t="s">
        <v>4168</v>
      </c>
      <c r="C239">
        <v>442</v>
      </c>
      <c r="D239">
        <v>3</v>
      </c>
      <c r="E239">
        <v>0</v>
      </c>
    </row>
    <row r="240" spans="2:5">
      <c r="B240" t="s">
        <v>4168</v>
      </c>
      <c r="C240">
        <v>470</v>
      </c>
      <c r="D240">
        <v>4</v>
      </c>
      <c r="E240">
        <v>0</v>
      </c>
    </row>
    <row r="241" spans="2:5">
      <c r="B241" t="s">
        <v>4168</v>
      </c>
      <c r="C241">
        <v>39</v>
      </c>
      <c r="D241">
        <v>1</v>
      </c>
      <c r="E241">
        <v>0</v>
      </c>
    </row>
    <row r="242" spans="2:5">
      <c r="B242" t="s">
        <v>4168</v>
      </c>
      <c r="C242">
        <v>88</v>
      </c>
      <c r="D242">
        <v>2</v>
      </c>
      <c r="E242">
        <v>0</v>
      </c>
    </row>
    <row r="243" spans="2:5">
      <c r="B243" t="s">
        <v>4168</v>
      </c>
      <c r="C243">
        <v>612</v>
      </c>
      <c r="D243">
        <v>5</v>
      </c>
      <c r="E243">
        <v>0</v>
      </c>
    </row>
    <row r="244" spans="2:5">
      <c r="B244" t="s">
        <v>4168</v>
      </c>
      <c r="C244">
        <v>105</v>
      </c>
      <c r="D244">
        <v>2</v>
      </c>
      <c r="E244">
        <v>0</v>
      </c>
    </row>
    <row r="245" spans="2:5">
      <c r="B245" t="s">
        <v>4168</v>
      </c>
      <c r="C245">
        <v>93</v>
      </c>
      <c r="D245">
        <v>1</v>
      </c>
      <c r="E245">
        <v>0</v>
      </c>
    </row>
    <row r="246" spans="2:5">
      <c r="B246" t="s">
        <v>4168</v>
      </c>
      <c r="C246">
        <v>305</v>
      </c>
      <c r="D246">
        <v>2</v>
      </c>
      <c r="E246">
        <v>0</v>
      </c>
    </row>
    <row r="247" spans="2:5">
      <c r="B247" t="s">
        <v>4168</v>
      </c>
      <c r="C247">
        <v>356</v>
      </c>
      <c r="D247">
        <v>8</v>
      </c>
      <c r="E247">
        <v>0</v>
      </c>
    </row>
    <row r="248" spans="2:5">
      <c r="B248" t="s">
        <v>4168</v>
      </c>
      <c r="C248">
        <v>148</v>
      </c>
      <c r="D248">
        <v>2</v>
      </c>
      <c r="E248">
        <v>0</v>
      </c>
    </row>
    <row r="249" spans="2:5">
      <c r="B249" t="s">
        <v>4168</v>
      </c>
      <c r="C249">
        <v>132</v>
      </c>
      <c r="D249">
        <v>8</v>
      </c>
      <c r="E249">
        <v>2</v>
      </c>
    </row>
    <row r="250" spans="2:5">
      <c r="B250" t="s">
        <v>4168</v>
      </c>
      <c r="C250">
        <v>79</v>
      </c>
      <c r="D250">
        <v>4</v>
      </c>
      <c r="E250">
        <v>0</v>
      </c>
    </row>
    <row r="251" spans="2:5">
      <c r="B251" t="s">
        <v>4168</v>
      </c>
      <c r="C251">
        <v>149</v>
      </c>
      <c r="D251">
        <v>0</v>
      </c>
      <c r="E251">
        <v>0</v>
      </c>
    </row>
    <row r="252" spans="2:5">
      <c r="B252" t="s">
        <v>4168</v>
      </c>
      <c r="C252">
        <v>90</v>
      </c>
      <c r="D252">
        <v>2</v>
      </c>
      <c r="E252">
        <v>0</v>
      </c>
    </row>
    <row r="253" spans="2:5">
      <c r="B253" t="s">
        <v>4168</v>
      </c>
      <c r="C253">
        <v>184</v>
      </c>
      <c r="D253">
        <v>13</v>
      </c>
      <c r="E253">
        <v>4</v>
      </c>
    </row>
    <row r="254" spans="2:5">
      <c r="B254" t="s">
        <v>4168</v>
      </c>
      <c r="C254">
        <v>161</v>
      </c>
      <c r="D254">
        <v>2</v>
      </c>
      <c r="E254">
        <v>0</v>
      </c>
    </row>
    <row r="255" spans="2:5">
      <c r="B255" t="s">
        <v>4168</v>
      </c>
      <c r="C255">
        <v>341</v>
      </c>
      <c r="D255">
        <v>11</v>
      </c>
      <c r="E255">
        <v>3</v>
      </c>
    </row>
    <row r="256" spans="2:5">
      <c r="B256" t="s">
        <v>4168</v>
      </c>
      <c r="C256">
        <v>172</v>
      </c>
      <c r="D256">
        <v>5</v>
      </c>
      <c r="E256">
        <v>0</v>
      </c>
    </row>
    <row r="257" spans="2:5">
      <c r="B257" t="s">
        <v>4168</v>
      </c>
      <c r="C257">
        <v>193</v>
      </c>
      <c r="D257">
        <v>9</v>
      </c>
      <c r="E257">
        <v>0</v>
      </c>
    </row>
    <row r="258" spans="2:5">
      <c r="B258" t="s">
        <v>4168</v>
      </c>
      <c r="C258">
        <v>143</v>
      </c>
      <c r="D258">
        <v>0</v>
      </c>
      <c r="E258">
        <v>0</v>
      </c>
    </row>
    <row r="259" spans="2:5">
      <c r="B259" t="s">
        <v>4168</v>
      </c>
      <c r="C259">
        <v>311</v>
      </c>
      <c r="D259">
        <v>9</v>
      </c>
      <c r="E259">
        <v>0</v>
      </c>
    </row>
    <row r="260" spans="2:5">
      <c r="B260" t="s">
        <v>4168</v>
      </c>
      <c r="C260">
        <v>324</v>
      </c>
      <c r="D260">
        <v>5</v>
      </c>
      <c r="E260">
        <v>2</v>
      </c>
    </row>
    <row r="261" spans="2:5">
      <c r="B261" t="s">
        <v>4168</v>
      </c>
      <c r="C261">
        <v>366</v>
      </c>
      <c r="D261">
        <v>2</v>
      </c>
      <c r="E261">
        <v>0</v>
      </c>
    </row>
    <row r="262" spans="2:5">
      <c r="B262" t="s">
        <v>4168</v>
      </c>
      <c r="C262">
        <v>363</v>
      </c>
      <c r="D262">
        <v>12</v>
      </c>
      <c r="E262">
        <v>2</v>
      </c>
    </row>
    <row r="263" spans="2:5">
      <c r="B263" t="s">
        <v>4168</v>
      </c>
      <c r="C263">
        <v>303</v>
      </c>
      <c r="D263">
        <v>2</v>
      </c>
      <c r="E263">
        <v>0</v>
      </c>
    </row>
    <row r="264" spans="2:5">
      <c r="B264" t="s">
        <v>4168</v>
      </c>
      <c r="C264">
        <v>263</v>
      </c>
      <c r="D264">
        <v>4</v>
      </c>
      <c r="E264">
        <v>0</v>
      </c>
    </row>
    <row r="265" spans="2:5">
      <c r="B265" t="s">
        <v>4168</v>
      </c>
      <c r="C265">
        <v>121</v>
      </c>
      <c r="D265">
        <v>2</v>
      </c>
      <c r="E265">
        <v>0</v>
      </c>
    </row>
    <row r="266" spans="2:5">
      <c r="B266" t="s">
        <v>4168</v>
      </c>
      <c r="C266">
        <v>440</v>
      </c>
      <c r="D266">
        <v>7</v>
      </c>
      <c r="E266">
        <v>0</v>
      </c>
    </row>
    <row r="267" spans="2:5">
      <c r="B267" t="s">
        <v>4168</v>
      </c>
      <c r="C267">
        <v>382</v>
      </c>
      <c r="D267">
        <v>4</v>
      </c>
      <c r="E267">
        <v>0</v>
      </c>
    </row>
    <row r="268" spans="2:5">
      <c r="B268" t="s">
        <v>4168</v>
      </c>
      <c r="C268">
        <v>260</v>
      </c>
      <c r="D268">
        <v>1</v>
      </c>
      <c r="E268">
        <v>0</v>
      </c>
    </row>
    <row r="269" spans="2:5">
      <c r="B269" t="s">
        <v>4168</v>
      </c>
      <c r="C269">
        <v>81</v>
      </c>
      <c r="D269">
        <v>1</v>
      </c>
      <c r="E269">
        <v>0</v>
      </c>
    </row>
    <row r="270" spans="2:5">
      <c r="B270" t="s">
        <v>4168</v>
      </c>
      <c r="C270">
        <v>278</v>
      </c>
      <c r="D270">
        <v>18</v>
      </c>
      <c r="E270">
        <v>2</v>
      </c>
    </row>
    <row r="271" spans="2:5">
      <c r="B271" t="s">
        <v>4168</v>
      </c>
      <c r="C271">
        <v>230</v>
      </c>
      <c r="D271">
        <v>14</v>
      </c>
      <c r="E271">
        <v>0</v>
      </c>
    </row>
    <row r="272" spans="2:5">
      <c r="B272" t="s">
        <v>4168</v>
      </c>
      <c r="C272">
        <v>149</v>
      </c>
      <c r="D272">
        <v>3</v>
      </c>
      <c r="E272">
        <v>0</v>
      </c>
    </row>
    <row r="273" spans="2:5">
      <c r="B273" t="s">
        <v>4168</v>
      </c>
      <c r="C273">
        <v>90</v>
      </c>
      <c r="D273">
        <v>1</v>
      </c>
      <c r="E273">
        <v>0</v>
      </c>
    </row>
    <row r="274" spans="2:5">
      <c r="B274" t="s">
        <v>4168</v>
      </c>
      <c r="C274">
        <v>257</v>
      </c>
      <c r="D274">
        <v>12</v>
      </c>
      <c r="E274">
        <v>2</v>
      </c>
    </row>
    <row r="275" spans="2:5">
      <c r="B275" t="s">
        <v>4168</v>
      </c>
      <c r="C275">
        <v>164</v>
      </c>
      <c r="D275">
        <v>0</v>
      </c>
      <c r="E275">
        <v>0</v>
      </c>
    </row>
    <row r="276" spans="2:5">
      <c r="B276" t="s">
        <v>4168</v>
      </c>
      <c r="C276">
        <v>154</v>
      </c>
      <c r="D276">
        <v>2</v>
      </c>
      <c r="E276">
        <v>0</v>
      </c>
    </row>
    <row r="277" spans="2:5">
      <c r="B277" t="s">
        <v>4168</v>
      </c>
      <c r="C277">
        <v>364</v>
      </c>
      <c r="D277">
        <v>6</v>
      </c>
      <c r="E277">
        <v>0</v>
      </c>
    </row>
    <row r="278" spans="2:5">
      <c r="B278" t="s">
        <v>4168</v>
      </c>
      <c r="C278">
        <v>256</v>
      </c>
      <c r="D278">
        <v>10</v>
      </c>
      <c r="E278">
        <v>0</v>
      </c>
    </row>
    <row r="279" spans="2:5">
      <c r="B279" t="s">
        <v>4168</v>
      </c>
      <c r="C279">
        <v>233</v>
      </c>
      <c r="D279">
        <v>2</v>
      </c>
      <c r="E279">
        <v>0</v>
      </c>
    </row>
    <row r="280" spans="2:5">
      <c r="B280" t="s">
        <v>4168</v>
      </c>
      <c r="C280">
        <v>257</v>
      </c>
      <c r="D280">
        <v>12</v>
      </c>
      <c r="E280">
        <v>2</v>
      </c>
    </row>
    <row r="281" spans="2:5">
      <c r="B281" t="s">
        <v>4168</v>
      </c>
      <c r="C281">
        <v>291</v>
      </c>
      <c r="D281">
        <v>13</v>
      </c>
      <c r="E281">
        <v>2</v>
      </c>
    </row>
    <row r="282" spans="2:5">
      <c r="B282" t="s">
        <v>4168</v>
      </c>
      <c r="C282">
        <v>204</v>
      </c>
      <c r="D282">
        <v>3</v>
      </c>
      <c r="E282">
        <v>0</v>
      </c>
    </row>
    <row r="283" spans="2:5">
      <c r="B283" t="s">
        <v>4168</v>
      </c>
      <c r="C283">
        <v>67</v>
      </c>
      <c r="D283">
        <v>0</v>
      </c>
      <c r="E283">
        <v>0</v>
      </c>
    </row>
    <row r="284" spans="2:5">
      <c r="B284" t="s">
        <v>4168</v>
      </c>
      <c r="C284">
        <v>363</v>
      </c>
      <c r="D284">
        <v>8</v>
      </c>
      <c r="E284">
        <v>0</v>
      </c>
    </row>
    <row r="285" spans="2:5">
      <c r="B285" t="s">
        <v>4168</v>
      </c>
      <c r="C285">
        <v>254</v>
      </c>
      <c r="D285">
        <v>12</v>
      </c>
      <c r="E285">
        <v>0</v>
      </c>
    </row>
    <row r="286" spans="2:5">
      <c r="B286" t="s">
        <v>4168</v>
      </c>
      <c r="C286">
        <v>298</v>
      </c>
      <c r="D286">
        <v>9</v>
      </c>
      <c r="E286">
        <v>0</v>
      </c>
    </row>
    <row r="287" spans="2:5">
      <c r="B287" t="s">
        <v>4168</v>
      </c>
      <c r="C287">
        <v>120</v>
      </c>
      <c r="D287">
        <v>2</v>
      </c>
      <c r="E287">
        <v>0</v>
      </c>
    </row>
    <row r="288" spans="2:5">
      <c r="B288" t="s">
        <v>4168</v>
      </c>
      <c r="C288">
        <v>220</v>
      </c>
      <c r="D288">
        <v>4</v>
      </c>
      <c r="E288">
        <v>0</v>
      </c>
    </row>
    <row r="289" spans="2:5">
      <c r="B289" t="s">
        <v>4168</v>
      </c>
      <c r="C289">
        <v>188</v>
      </c>
      <c r="D289">
        <v>2</v>
      </c>
      <c r="E289">
        <v>0</v>
      </c>
    </row>
    <row r="290" spans="2:5">
      <c r="B290" t="s">
        <v>4168</v>
      </c>
      <c r="C290">
        <v>333</v>
      </c>
      <c r="D290">
        <v>7</v>
      </c>
      <c r="E290">
        <v>0</v>
      </c>
    </row>
    <row r="291" spans="2:5">
      <c r="B291" t="s">
        <v>4168</v>
      </c>
      <c r="C291">
        <v>249</v>
      </c>
      <c r="D291">
        <v>2</v>
      </c>
      <c r="E291">
        <v>0</v>
      </c>
    </row>
    <row r="292" spans="2:5">
      <c r="B292" t="s">
        <v>4168</v>
      </c>
      <c r="C292">
        <v>110</v>
      </c>
      <c r="D292">
        <v>1</v>
      </c>
      <c r="E292">
        <v>0</v>
      </c>
    </row>
    <row r="293" spans="2:5">
      <c r="B293" t="s">
        <v>4168</v>
      </c>
      <c r="C293">
        <v>446</v>
      </c>
      <c r="D293">
        <v>3</v>
      </c>
      <c r="E293">
        <v>0</v>
      </c>
    </row>
    <row r="294" spans="2:5">
      <c r="B294" t="s">
        <v>4168</v>
      </c>
      <c r="C294">
        <v>90</v>
      </c>
      <c r="D294">
        <v>0</v>
      </c>
      <c r="E294">
        <v>0</v>
      </c>
    </row>
    <row r="295" spans="2:5">
      <c r="B295" t="s">
        <v>4168</v>
      </c>
      <c r="C295">
        <v>128</v>
      </c>
      <c r="D295">
        <v>5</v>
      </c>
      <c r="E295">
        <v>2</v>
      </c>
    </row>
    <row r="296" spans="2:5">
      <c r="B296" t="s">
        <v>4168</v>
      </c>
      <c r="C296">
        <v>385</v>
      </c>
      <c r="D296">
        <v>7</v>
      </c>
      <c r="E296">
        <v>0</v>
      </c>
    </row>
    <row r="297" spans="2:5">
      <c r="B297" t="s">
        <v>4168</v>
      </c>
      <c r="C297">
        <v>300</v>
      </c>
      <c r="D297">
        <v>1</v>
      </c>
      <c r="E297">
        <v>0</v>
      </c>
    </row>
    <row r="298" spans="2:5">
      <c r="B298" t="s">
        <v>4168</v>
      </c>
      <c r="C298">
        <v>304</v>
      </c>
      <c r="D298">
        <v>6</v>
      </c>
      <c r="E298">
        <v>0</v>
      </c>
    </row>
    <row r="299" spans="2:5">
      <c r="B299" t="s">
        <v>4168</v>
      </c>
      <c r="C299">
        <v>181</v>
      </c>
      <c r="D299">
        <v>1</v>
      </c>
      <c r="E299">
        <v>0</v>
      </c>
    </row>
    <row r="300" spans="2:5">
      <c r="B300" t="s">
        <v>4168</v>
      </c>
      <c r="C300">
        <v>467</v>
      </c>
      <c r="D300">
        <v>4</v>
      </c>
      <c r="E300">
        <v>0</v>
      </c>
    </row>
    <row r="301" spans="2:5">
      <c r="B301" t="s">
        <v>4168</v>
      </c>
      <c r="C301">
        <v>259</v>
      </c>
      <c r="D301">
        <v>0</v>
      </c>
      <c r="E301">
        <v>0</v>
      </c>
    </row>
    <row r="302" spans="2:5">
      <c r="B302" t="s">
        <v>4168</v>
      </c>
      <c r="C302">
        <v>129</v>
      </c>
      <c r="D302">
        <v>6</v>
      </c>
      <c r="E302">
        <v>0</v>
      </c>
    </row>
    <row r="303" spans="2:5">
      <c r="B303" t="s">
        <v>4168</v>
      </c>
      <c r="C303">
        <v>150</v>
      </c>
      <c r="D303">
        <v>3</v>
      </c>
      <c r="E303">
        <v>0</v>
      </c>
    </row>
    <row r="304" spans="2:5">
      <c r="B304" t="s">
        <v>4168</v>
      </c>
      <c r="C304">
        <v>338</v>
      </c>
      <c r="D304">
        <v>1</v>
      </c>
      <c r="E304">
        <v>0</v>
      </c>
    </row>
    <row r="305" spans="2:5">
      <c r="B305" t="s">
        <v>4168</v>
      </c>
      <c r="C305">
        <v>147</v>
      </c>
      <c r="D305">
        <v>3</v>
      </c>
      <c r="E305">
        <v>0</v>
      </c>
    </row>
    <row r="306" spans="2:5">
      <c r="B306" t="s">
        <v>4168</v>
      </c>
      <c r="C306">
        <v>204</v>
      </c>
      <c r="D306">
        <v>15</v>
      </c>
      <c r="E306">
        <v>0</v>
      </c>
    </row>
    <row r="307" spans="2:5">
      <c r="B307" t="s">
        <v>4168</v>
      </c>
      <c r="C307">
        <v>332</v>
      </c>
      <c r="D307">
        <v>0</v>
      </c>
      <c r="E307">
        <v>0</v>
      </c>
    </row>
    <row r="308" spans="2:5">
      <c r="B308" t="s">
        <v>4168</v>
      </c>
      <c r="C308">
        <v>219</v>
      </c>
      <c r="D308">
        <v>10</v>
      </c>
      <c r="E308">
        <v>0</v>
      </c>
    </row>
    <row r="309" spans="2:5">
      <c r="B309" t="s">
        <v>4168</v>
      </c>
      <c r="C309">
        <v>221</v>
      </c>
      <c r="D309">
        <v>5</v>
      </c>
      <c r="E309">
        <v>0</v>
      </c>
    </row>
    <row r="310" spans="2:5">
      <c r="B310" t="s">
        <v>4168</v>
      </c>
      <c r="C310">
        <v>156</v>
      </c>
      <c r="D310">
        <v>5</v>
      </c>
      <c r="E310">
        <v>0</v>
      </c>
    </row>
    <row r="311" spans="2:5">
      <c r="B311" t="s">
        <v>4168</v>
      </c>
      <c r="C311">
        <v>209</v>
      </c>
      <c r="D311">
        <v>2</v>
      </c>
      <c r="E311">
        <v>0</v>
      </c>
    </row>
    <row r="312" spans="2:5">
      <c r="B312" t="s">
        <v>4168</v>
      </c>
      <c r="C312">
        <v>166</v>
      </c>
      <c r="D312">
        <v>3</v>
      </c>
      <c r="E312">
        <v>0</v>
      </c>
    </row>
    <row r="313" spans="2:5">
      <c r="B313" t="s">
        <v>4168</v>
      </c>
      <c r="C313">
        <v>166</v>
      </c>
      <c r="D313">
        <v>3</v>
      </c>
      <c r="E313">
        <v>0</v>
      </c>
    </row>
    <row r="314" spans="2:5">
      <c r="B314" t="s">
        <v>4168</v>
      </c>
      <c r="C314">
        <v>254</v>
      </c>
      <c r="D314">
        <v>1</v>
      </c>
      <c r="E314">
        <v>0</v>
      </c>
    </row>
    <row r="315" spans="2:5">
      <c r="B315" t="s">
        <v>4168</v>
      </c>
      <c r="C315">
        <v>246</v>
      </c>
      <c r="D315">
        <v>0</v>
      </c>
      <c r="E315">
        <v>0</v>
      </c>
    </row>
    <row r="316" spans="2:5">
      <c r="B316" t="s">
        <v>4168</v>
      </c>
      <c r="C316">
        <v>293</v>
      </c>
      <c r="D316">
        <v>6</v>
      </c>
      <c r="E316">
        <v>0</v>
      </c>
    </row>
    <row r="317" spans="2:5">
      <c r="B317" t="s">
        <v>4168</v>
      </c>
      <c r="C317">
        <v>240</v>
      </c>
      <c r="D317">
        <v>0</v>
      </c>
      <c r="E317">
        <v>0</v>
      </c>
    </row>
    <row r="318" spans="2:5">
      <c r="B318" t="s">
        <v>4168</v>
      </c>
      <c r="C318">
        <v>185</v>
      </c>
      <c r="D318">
        <v>5</v>
      </c>
      <c r="E318">
        <v>0</v>
      </c>
    </row>
    <row r="319" spans="2:5">
      <c r="B319" t="s">
        <v>4168</v>
      </c>
      <c r="C319">
        <v>260</v>
      </c>
      <c r="D319">
        <v>8</v>
      </c>
      <c r="E319">
        <v>2</v>
      </c>
    </row>
    <row r="320" spans="2:5">
      <c r="B320" t="s">
        <v>4168</v>
      </c>
      <c r="C320">
        <v>269</v>
      </c>
      <c r="D320">
        <v>9</v>
      </c>
      <c r="E320">
        <v>0</v>
      </c>
    </row>
    <row r="321" spans="2:5">
      <c r="B321" t="s">
        <v>4168</v>
      </c>
      <c r="C321">
        <v>383</v>
      </c>
      <c r="D321">
        <v>8</v>
      </c>
      <c r="E321">
        <v>2</v>
      </c>
    </row>
    <row r="322" spans="2:5">
      <c r="B322" t="s">
        <v>4168</v>
      </c>
      <c r="C322">
        <v>422</v>
      </c>
      <c r="D322">
        <v>24</v>
      </c>
      <c r="E322">
        <v>2</v>
      </c>
    </row>
    <row r="323" spans="2:5">
      <c r="B323" t="s">
        <v>4168</v>
      </c>
      <c r="C323">
        <v>91</v>
      </c>
      <c r="D323">
        <v>3</v>
      </c>
      <c r="E323">
        <v>0</v>
      </c>
    </row>
    <row r="324" spans="2:5">
      <c r="B324" t="s">
        <v>4168</v>
      </c>
      <c r="C324">
        <v>716</v>
      </c>
      <c r="D324">
        <v>8</v>
      </c>
      <c r="E324">
        <v>2</v>
      </c>
    </row>
    <row r="325" spans="2:5">
      <c r="B325" t="s">
        <v>4168</v>
      </c>
      <c r="C325">
        <v>92</v>
      </c>
      <c r="D325">
        <v>1</v>
      </c>
      <c r="E325">
        <v>0</v>
      </c>
    </row>
    <row r="326" spans="2:5">
      <c r="B326" t="s">
        <v>4168</v>
      </c>
      <c r="C326">
        <v>117</v>
      </c>
      <c r="D326">
        <v>2</v>
      </c>
      <c r="E326">
        <v>0</v>
      </c>
    </row>
    <row r="327" spans="2:5">
      <c r="B327" t="s">
        <v>4168</v>
      </c>
      <c r="C327">
        <v>705</v>
      </c>
      <c r="D327">
        <v>13</v>
      </c>
      <c r="E327">
        <v>0</v>
      </c>
    </row>
    <row r="328" spans="2:5">
      <c r="B328" t="s">
        <v>4168</v>
      </c>
      <c r="C328">
        <v>409</v>
      </c>
      <c r="D328">
        <v>6</v>
      </c>
      <c r="E328">
        <v>0</v>
      </c>
    </row>
    <row r="329" spans="2:5">
      <c r="B329" t="s">
        <v>4168</v>
      </c>
      <c r="C329">
        <v>297</v>
      </c>
      <c r="D329">
        <v>7</v>
      </c>
      <c r="E329">
        <v>2</v>
      </c>
    </row>
    <row r="330" spans="2:5">
      <c r="B330" t="s">
        <v>4168</v>
      </c>
      <c r="C330">
        <v>346</v>
      </c>
      <c r="D330">
        <v>8</v>
      </c>
      <c r="E330">
        <v>0</v>
      </c>
    </row>
    <row r="331" spans="2:5">
      <c r="B331" t="s">
        <v>4168</v>
      </c>
      <c r="C331">
        <v>290</v>
      </c>
      <c r="D331">
        <v>3</v>
      </c>
      <c r="E331">
        <v>0</v>
      </c>
    </row>
    <row r="332" spans="2:5">
      <c r="B332" t="s">
        <v>4168</v>
      </c>
      <c r="C332">
        <v>555</v>
      </c>
      <c r="D332">
        <v>7</v>
      </c>
      <c r="E332">
        <v>2</v>
      </c>
    </row>
    <row r="333" spans="2:5">
      <c r="B333" t="s">
        <v>4168</v>
      </c>
      <c r="C333">
        <v>241</v>
      </c>
      <c r="D333">
        <v>5</v>
      </c>
      <c r="E333">
        <v>0</v>
      </c>
    </row>
    <row r="334" spans="2:5">
      <c r="B334" t="s">
        <v>4168</v>
      </c>
      <c r="C334">
        <v>428</v>
      </c>
      <c r="D334">
        <v>7</v>
      </c>
      <c r="E334">
        <v>0</v>
      </c>
    </row>
    <row r="335" spans="2:5">
      <c r="B335" t="s">
        <v>4168</v>
      </c>
      <c r="C335">
        <v>85</v>
      </c>
      <c r="D335">
        <v>1</v>
      </c>
      <c r="E335">
        <v>0</v>
      </c>
    </row>
    <row r="336" spans="2:5">
      <c r="B336" t="s">
        <v>4168</v>
      </c>
      <c r="C336">
        <v>348</v>
      </c>
      <c r="D336">
        <v>5</v>
      </c>
      <c r="E336">
        <v>0</v>
      </c>
    </row>
    <row r="337" spans="2:5">
      <c r="B337" t="s">
        <v>4168</v>
      </c>
      <c r="C337">
        <v>520</v>
      </c>
      <c r="D337">
        <v>0</v>
      </c>
      <c r="E337">
        <v>0</v>
      </c>
    </row>
    <row r="338" spans="2:5">
      <c r="B338" t="s">
        <v>4168</v>
      </c>
      <c r="C338">
        <v>86</v>
      </c>
      <c r="D338">
        <v>0</v>
      </c>
      <c r="E338">
        <v>0</v>
      </c>
    </row>
    <row r="339" spans="2:5">
      <c r="B339" t="s">
        <v>4168</v>
      </c>
      <c r="C339">
        <v>509</v>
      </c>
      <c r="D339">
        <v>5</v>
      </c>
      <c r="E339">
        <v>2</v>
      </c>
    </row>
    <row r="340" spans="2:5">
      <c r="B340" t="s">
        <v>4168</v>
      </c>
      <c r="C340">
        <v>143</v>
      </c>
      <c r="D340">
        <v>0</v>
      </c>
      <c r="E340">
        <v>0</v>
      </c>
    </row>
    <row r="341" spans="2:5">
      <c r="B341" t="s">
        <v>4168</v>
      </c>
      <c r="C341">
        <v>76</v>
      </c>
      <c r="D341">
        <v>2</v>
      </c>
      <c r="E341">
        <v>0</v>
      </c>
    </row>
    <row r="342" spans="2:5">
      <c r="B342" t="s">
        <v>4168</v>
      </c>
      <c r="C342">
        <v>130</v>
      </c>
      <c r="D342">
        <v>4</v>
      </c>
      <c r="E342">
        <v>2</v>
      </c>
    </row>
    <row r="343" spans="2:5">
      <c r="B343" t="s">
        <v>4168</v>
      </c>
      <c r="C343">
        <v>700</v>
      </c>
      <c r="D343">
        <v>9</v>
      </c>
      <c r="E343">
        <v>0</v>
      </c>
    </row>
    <row r="344" spans="2:5">
      <c r="B344" t="s">
        <v>4168</v>
      </c>
      <c r="C344">
        <v>329</v>
      </c>
      <c r="D344">
        <v>3</v>
      </c>
      <c r="E344">
        <v>0</v>
      </c>
    </row>
    <row r="345" spans="2:5">
      <c r="B345" t="s">
        <v>4168</v>
      </c>
      <c r="C345">
        <v>329</v>
      </c>
      <c r="D345">
        <v>3</v>
      </c>
      <c r="E345">
        <v>0</v>
      </c>
    </row>
    <row r="346" spans="2:5">
      <c r="B346" t="s">
        <v>4168</v>
      </c>
      <c r="C346">
        <v>329</v>
      </c>
      <c r="D346">
        <v>3</v>
      </c>
      <c r="E346">
        <v>0</v>
      </c>
    </row>
    <row r="347" spans="2:5">
      <c r="B347" t="s">
        <v>4168</v>
      </c>
      <c r="C347">
        <v>322</v>
      </c>
      <c r="D347">
        <v>3</v>
      </c>
      <c r="E347">
        <v>0</v>
      </c>
    </row>
    <row r="348" spans="2:5">
      <c r="B348" t="s">
        <v>4168</v>
      </c>
      <c r="C348">
        <v>421</v>
      </c>
      <c r="D348">
        <v>6</v>
      </c>
      <c r="E348">
        <v>0</v>
      </c>
    </row>
    <row r="349" spans="2:5">
      <c r="B349" t="s">
        <v>4168</v>
      </c>
      <c r="C349">
        <v>135</v>
      </c>
      <c r="D349">
        <v>3</v>
      </c>
      <c r="E349">
        <v>0</v>
      </c>
    </row>
    <row r="350" spans="2:5">
      <c r="B350" t="s">
        <v>4168</v>
      </c>
      <c r="C350">
        <v>444</v>
      </c>
      <c r="D350">
        <v>5</v>
      </c>
      <c r="E350">
        <v>0</v>
      </c>
    </row>
    <row r="351" spans="2:5">
      <c r="B351" t="s">
        <v>4168</v>
      </c>
      <c r="C351">
        <v>463</v>
      </c>
      <c r="D351">
        <v>17</v>
      </c>
      <c r="E351">
        <v>2</v>
      </c>
    </row>
    <row r="352" spans="2:5">
      <c r="B352" t="s">
        <v>4168</v>
      </c>
      <c r="C352">
        <v>445</v>
      </c>
      <c r="D352">
        <v>27</v>
      </c>
      <c r="E352">
        <v>4</v>
      </c>
    </row>
    <row r="353" spans="2:5">
      <c r="B353" t="s">
        <v>4168</v>
      </c>
      <c r="C353">
        <v>148</v>
      </c>
      <c r="D353">
        <v>6</v>
      </c>
      <c r="E353">
        <v>0</v>
      </c>
    </row>
    <row r="354" spans="2:5">
      <c r="B354" t="s">
        <v>4168</v>
      </c>
      <c r="C354">
        <v>235</v>
      </c>
      <c r="D354">
        <v>5</v>
      </c>
      <c r="E354">
        <v>0</v>
      </c>
    </row>
    <row r="355" spans="2:5">
      <c r="B355" t="s">
        <v>4168</v>
      </c>
      <c r="C355">
        <v>120</v>
      </c>
      <c r="D355">
        <v>3</v>
      </c>
      <c r="E355">
        <v>0</v>
      </c>
    </row>
    <row r="356" spans="2:5">
      <c r="B356" t="s">
        <v>4168</v>
      </c>
      <c r="C356">
        <v>163</v>
      </c>
      <c r="D356">
        <v>6</v>
      </c>
      <c r="E356">
        <v>0</v>
      </c>
    </row>
    <row r="357" spans="2:5">
      <c r="B357" t="s">
        <v>4168</v>
      </c>
      <c r="C357">
        <v>41</v>
      </c>
      <c r="D357">
        <v>0</v>
      </c>
      <c r="E357">
        <v>0</v>
      </c>
    </row>
    <row r="358" spans="2:5">
      <c r="B358" t="s">
        <v>4168</v>
      </c>
      <c r="C358">
        <v>48</v>
      </c>
      <c r="D358">
        <v>1</v>
      </c>
      <c r="E358">
        <v>0</v>
      </c>
    </row>
    <row r="359" spans="2:5">
      <c r="B359" t="s">
        <v>4168</v>
      </c>
      <c r="C359">
        <v>300</v>
      </c>
      <c r="D359">
        <v>5</v>
      </c>
      <c r="E359">
        <v>0</v>
      </c>
    </row>
    <row r="360" spans="2:5">
      <c r="B360" t="s">
        <v>4168</v>
      </c>
      <c r="C360">
        <v>213</v>
      </c>
      <c r="D360">
        <v>9</v>
      </c>
      <c r="E360">
        <v>2</v>
      </c>
    </row>
    <row r="361" spans="2:5">
      <c r="B361" t="s">
        <v>4168</v>
      </c>
      <c r="C361">
        <v>114</v>
      </c>
      <c r="D361">
        <v>0</v>
      </c>
      <c r="E361">
        <v>0</v>
      </c>
    </row>
    <row r="362" spans="2:5">
      <c r="B362" t="s">
        <v>4168</v>
      </c>
      <c r="C362">
        <v>221</v>
      </c>
      <c r="D362">
        <v>2</v>
      </c>
      <c r="E362">
        <v>0</v>
      </c>
    </row>
    <row r="363" spans="2:5">
      <c r="B363" t="s">
        <v>4168</v>
      </c>
      <c r="C363">
        <v>116</v>
      </c>
      <c r="D363">
        <v>4</v>
      </c>
      <c r="E363">
        <v>0</v>
      </c>
    </row>
    <row r="364" spans="2:5">
      <c r="B364" t="s">
        <v>4168</v>
      </c>
      <c r="C364">
        <v>112</v>
      </c>
      <c r="D364">
        <v>2</v>
      </c>
      <c r="E364">
        <v>0</v>
      </c>
    </row>
    <row r="365" spans="2:5">
      <c r="B365" t="s">
        <v>4168</v>
      </c>
      <c r="C365">
        <v>273</v>
      </c>
      <c r="D365">
        <v>13</v>
      </c>
      <c r="E365">
        <v>0</v>
      </c>
    </row>
    <row r="366" spans="2:5">
      <c r="B366" t="s">
        <v>4168</v>
      </c>
      <c r="C366">
        <v>233</v>
      </c>
      <c r="D366">
        <v>3</v>
      </c>
      <c r="E366">
        <v>0</v>
      </c>
    </row>
    <row r="367" spans="2:5">
      <c r="B367" t="s">
        <v>4168</v>
      </c>
      <c r="C367">
        <v>104</v>
      </c>
      <c r="D367">
        <v>1</v>
      </c>
      <c r="E367">
        <v>0</v>
      </c>
    </row>
    <row r="368" spans="2:5">
      <c r="B368" t="s">
        <v>4168</v>
      </c>
      <c r="C368">
        <v>226</v>
      </c>
      <c r="D368">
        <v>5</v>
      </c>
      <c r="E368">
        <v>0</v>
      </c>
    </row>
    <row r="369" spans="2:5">
      <c r="B369" t="s">
        <v>4168</v>
      </c>
      <c r="C369">
        <v>177</v>
      </c>
      <c r="D369">
        <v>2</v>
      </c>
      <c r="E369">
        <v>0</v>
      </c>
    </row>
    <row r="370" spans="2:5">
      <c r="B370" t="s">
        <v>4168</v>
      </c>
      <c r="C370">
        <v>83</v>
      </c>
      <c r="D370">
        <v>2</v>
      </c>
      <c r="E370">
        <v>2</v>
      </c>
    </row>
    <row r="371" spans="2:5">
      <c r="B371" t="s">
        <v>4168</v>
      </c>
      <c r="C371">
        <v>422</v>
      </c>
      <c r="D371">
        <v>13</v>
      </c>
      <c r="E371">
        <v>0</v>
      </c>
    </row>
    <row r="372" spans="2:5">
      <c r="B372" t="s">
        <v>4168</v>
      </c>
      <c r="C372">
        <v>60</v>
      </c>
      <c r="D372">
        <v>3</v>
      </c>
      <c r="E372">
        <v>0</v>
      </c>
    </row>
    <row r="373" spans="2:5">
      <c r="B373" t="s">
        <v>4168</v>
      </c>
      <c r="C373">
        <v>48</v>
      </c>
      <c r="D373">
        <v>0</v>
      </c>
      <c r="E373">
        <v>0</v>
      </c>
    </row>
    <row r="374" spans="2:5">
      <c r="B374" t="s">
        <v>4168</v>
      </c>
      <c r="C374">
        <v>430</v>
      </c>
      <c r="D374">
        <v>8</v>
      </c>
      <c r="E374">
        <v>0</v>
      </c>
    </row>
    <row r="375" spans="2:5">
      <c r="B375" t="s">
        <v>4168</v>
      </c>
      <c r="C375">
        <v>161</v>
      </c>
      <c r="D375">
        <v>6</v>
      </c>
      <c r="E375">
        <v>0</v>
      </c>
    </row>
    <row r="376" spans="2:5">
      <c r="B376" t="s">
        <v>4168</v>
      </c>
      <c r="C376">
        <v>127</v>
      </c>
      <c r="D376">
        <v>0</v>
      </c>
      <c r="E376">
        <v>0</v>
      </c>
    </row>
    <row r="377" spans="2:5">
      <c r="B377" t="s">
        <v>4168</v>
      </c>
      <c r="C377">
        <v>277</v>
      </c>
      <c r="D377">
        <v>7</v>
      </c>
      <c r="E377">
        <v>0</v>
      </c>
    </row>
    <row r="378" spans="2:5">
      <c r="B378" t="s">
        <v>4168</v>
      </c>
      <c r="C378">
        <v>137</v>
      </c>
      <c r="D378">
        <v>3</v>
      </c>
      <c r="E378">
        <v>0</v>
      </c>
    </row>
    <row r="379" spans="2:5">
      <c r="B379" t="s">
        <v>4168</v>
      </c>
      <c r="C379">
        <v>111</v>
      </c>
      <c r="D379">
        <v>3</v>
      </c>
      <c r="E379">
        <v>0</v>
      </c>
    </row>
    <row r="380" spans="2:5">
      <c r="B380" t="s">
        <v>4168</v>
      </c>
      <c r="C380">
        <v>255</v>
      </c>
      <c r="D380">
        <v>1</v>
      </c>
      <c r="E380">
        <v>0</v>
      </c>
    </row>
    <row r="381" spans="2:5">
      <c r="B381" t="s">
        <v>4168</v>
      </c>
      <c r="C381">
        <v>224</v>
      </c>
      <c r="D381">
        <v>0</v>
      </c>
      <c r="E381">
        <v>0</v>
      </c>
    </row>
    <row r="382" spans="2:5">
      <c r="B382" t="s">
        <v>4168</v>
      </c>
      <c r="C382">
        <v>167</v>
      </c>
      <c r="D382">
        <v>2</v>
      </c>
      <c r="E382">
        <v>0</v>
      </c>
    </row>
    <row r="383" spans="2:5">
      <c r="B383" t="s">
        <v>4168</v>
      </c>
      <c r="C383">
        <v>267</v>
      </c>
      <c r="D383">
        <v>18</v>
      </c>
      <c r="E383">
        <v>0</v>
      </c>
    </row>
    <row r="384" spans="2:5">
      <c r="B384" t="s">
        <v>4168</v>
      </c>
      <c r="C384">
        <v>390</v>
      </c>
      <c r="D384">
        <v>2</v>
      </c>
      <c r="E384">
        <v>0</v>
      </c>
    </row>
    <row r="385" spans="2:5">
      <c r="B385" t="s">
        <v>4168</v>
      </c>
      <c r="C385">
        <v>149</v>
      </c>
      <c r="D385">
        <v>2</v>
      </c>
      <c r="E385">
        <v>0</v>
      </c>
    </row>
    <row r="386" spans="2:5">
      <c r="B386" t="s">
        <v>4168</v>
      </c>
      <c r="C386">
        <v>348</v>
      </c>
      <c r="D386">
        <v>3</v>
      </c>
      <c r="E386">
        <v>0</v>
      </c>
    </row>
    <row r="387" spans="2:5">
      <c r="B387" t="s">
        <v>4168</v>
      </c>
      <c r="C387">
        <v>233</v>
      </c>
      <c r="D387">
        <v>8</v>
      </c>
      <c r="E387">
        <v>0</v>
      </c>
    </row>
    <row r="388" spans="2:5">
      <c r="B388" t="s">
        <v>4168</v>
      </c>
      <c r="C388">
        <v>251</v>
      </c>
      <c r="D388">
        <v>5</v>
      </c>
      <c r="E388">
        <v>0</v>
      </c>
    </row>
    <row r="389" spans="2:5">
      <c r="B389" t="s">
        <v>4168</v>
      </c>
      <c r="C389">
        <v>75</v>
      </c>
      <c r="D389">
        <v>1</v>
      </c>
      <c r="E389">
        <v>0</v>
      </c>
    </row>
    <row r="390" spans="2:5">
      <c r="B390" t="s">
        <v>4168</v>
      </c>
      <c r="C390">
        <v>190</v>
      </c>
      <c r="D390">
        <v>0</v>
      </c>
      <c r="E390">
        <v>0</v>
      </c>
    </row>
    <row r="391" spans="2:5">
      <c r="B391" t="s">
        <v>4168</v>
      </c>
      <c r="C391">
        <v>492</v>
      </c>
      <c r="D391">
        <v>4</v>
      </c>
      <c r="E391">
        <v>0</v>
      </c>
    </row>
    <row r="392" spans="2:5">
      <c r="B392" t="s">
        <v>4168</v>
      </c>
      <c r="C392">
        <v>67</v>
      </c>
      <c r="D392">
        <v>3</v>
      </c>
      <c r="E392">
        <v>0</v>
      </c>
    </row>
    <row r="393" spans="2:5">
      <c r="B393" t="s">
        <v>4168</v>
      </c>
      <c r="C393">
        <v>382</v>
      </c>
      <c r="D393">
        <v>3</v>
      </c>
      <c r="E393">
        <v>0</v>
      </c>
    </row>
    <row r="394" spans="2:5">
      <c r="B394" t="s">
        <v>4168</v>
      </c>
      <c r="C394">
        <v>427</v>
      </c>
      <c r="D394">
        <v>4</v>
      </c>
      <c r="E394">
        <v>0</v>
      </c>
    </row>
    <row r="395" spans="2:5">
      <c r="B395" t="s">
        <v>4168</v>
      </c>
      <c r="C395">
        <v>194</v>
      </c>
      <c r="D395">
        <v>7</v>
      </c>
      <c r="E395">
        <v>0</v>
      </c>
    </row>
    <row r="396" spans="2:5">
      <c r="B396" t="s">
        <v>4168</v>
      </c>
      <c r="C396">
        <v>194</v>
      </c>
      <c r="D396">
        <v>3</v>
      </c>
      <c r="E396">
        <v>0</v>
      </c>
    </row>
    <row r="397" spans="2:5">
      <c r="B397" t="s">
        <v>4168</v>
      </c>
      <c r="C397">
        <v>179</v>
      </c>
      <c r="D397">
        <v>4</v>
      </c>
      <c r="E397">
        <v>0</v>
      </c>
    </row>
    <row r="398" spans="2:5">
      <c r="B398" t="s">
        <v>4168</v>
      </c>
      <c r="C398">
        <v>179</v>
      </c>
      <c r="D398">
        <v>5</v>
      </c>
      <c r="E398">
        <v>0</v>
      </c>
    </row>
    <row r="399" spans="2:5">
      <c r="B399" t="s">
        <v>4168</v>
      </c>
      <c r="C399">
        <v>197</v>
      </c>
      <c r="D399">
        <v>1</v>
      </c>
      <c r="E399">
        <v>0</v>
      </c>
    </row>
    <row r="400" spans="2:5">
      <c r="B400" t="s">
        <v>4168</v>
      </c>
      <c r="C400">
        <v>251</v>
      </c>
      <c r="D400">
        <v>7</v>
      </c>
      <c r="E400">
        <v>0</v>
      </c>
    </row>
    <row r="401" spans="2:5">
      <c r="B401" t="s">
        <v>4168</v>
      </c>
      <c r="C401">
        <v>124</v>
      </c>
      <c r="D401">
        <v>0</v>
      </c>
      <c r="E401">
        <v>0</v>
      </c>
    </row>
    <row r="402" spans="2:5">
      <c r="B402" t="s">
        <v>4168</v>
      </c>
      <c r="C402">
        <v>154</v>
      </c>
      <c r="D402">
        <v>0</v>
      </c>
      <c r="E402">
        <v>0</v>
      </c>
    </row>
    <row r="403" spans="2:5">
      <c r="B403" t="s">
        <v>4168</v>
      </c>
      <c r="C403">
        <v>398</v>
      </c>
      <c r="D403">
        <v>7</v>
      </c>
      <c r="E403">
        <v>0</v>
      </c>
    </row>
    <row r="404" spans="2:5">
      <c r="B404" t="s">
        <v>4168</v>
      </c>
      <c r="C404">
        <v>215</v>
      </c>
      <c r="D404">
        <v>10</v>
      </c>
      <c r="E404">
        <v>0</v>
      </c>
    </row>
    <row r="405" spans="2:5">
      <c r="B405" t="s">
        <v>4168</v>
      </c>
      <c r="C405">
        <v>114</v>
      </c>
      <c r="D405">
        <v>4</v>
      </c>
      <c r="E405">
        <v>2</v>
      </c>
    </row>
    <row r="406" spans="2:5">
      <c r="B406" t="s">
        <v>4168</v>
      </c>
      <c r="C406">
        <v>143</v>
      </c>
      <c r="D406">
        <v>1</v>
      </c>
      <c r="E406">
        <v>0</v>
      </c>
    </row>
    <row r="407" spans="2:5">
      <c r="B407" t="s">
        <v>4168</v>
      </c>
      <c r="C407">
        <v>203</v>
      </c>
      <c r="D407">
        <v>8</v>
      </c>
      <c r="E407">
        <v>0</v>
      </c>
    </row>
    <row r="408" spans="2:5">
      <c r="B408" t="s">
        <v>4168</v>
      </c>
      <c r="C408">
        <v>255</v>
      </c>
      <c r="D408">
        <v>2</v>
      </c>
      <c r="E408">
        <v>0</v>
      </c>
    </row>
    <row r="409" spans="2:5">
      <c r="B409" t="s">
        <v>4168</v>
      </c>
      <c r="C409">
        <v>117</v>
      </c>
      <c r="D409">
        <v>1</v>
      </c>
      <c r="E409">
        <v>0</v>
      </c>
    </row>
    <row r="410" spans="2:5">
      <c r="B410" t="s">
        <v>4168</v>
      </c>
      <c r="C410">
        <v>149</v>
      </c>
      <c r="D410">
        <v>1</v>
      </c>
      <c r="E410">
        <v>0</v>
      </c>
    </row>
    <row r="411" spans="2:5">
      <c r="B411" t="s">
        <v>4168</v>
      </c>
      <c r="C411">
        <v>329</v>
      </c>
      <c r="D411">
        <v>3</v>
      </c>
      <c r="E411">
        <v>0</v>
      </c>
    </row>
    <row r="412" spans="2:5">
      <c r="B412" t="s">
        <v>4168</v>
      </c>
      <c r="C412">
        <v>107</v>
      </c>
      <c r="D412">
        <v>0</v>
      </c>
      <c r="E412">
        <v>0</v>
      </c>
    </row>
    <row r="413" spans="2:5">
      <c r="B413" t="s">
        <v>4168</v>
      </c>
      <c r="C413">
        <v>156</v>
      </c>
      <c r="D413">
        <v>5</v>
      </c>
      <c r="E413">
        <v>0</v>
      </c>
    </row>
    <row r="414" spans="2:5">
      <c r="B414" t="s">
        <v>4168</v>
      </c>
      <c r="C414">
        <v>412</v>
      </c>
      <c r="D414">
        <v>11</v>
      </c>
      <c r="E414">
        <v>0</v>
      </c>
    </row>
    <row r="415" spans="2:5">
      <c r="B415" t="s">
        <v>4168</v>
      </c>
      <c r="C415">
        <v>469</v>
      </c>
      <c r="D415">
        <v>2</v>
      </c>
      <c r="E415">
        <v>0</v>
      </c>
    </row>
    <row r="416" spans="2:5">
      <c r="B416" t="s">
        <v>4168</v>
      </c>
      <c r="C416">
        <v>219</v>
      </c>
      <c r="D416">
        <v>3</v>
      </c>
      <c r="E416">
        <v>0</v>
      </c>
    </row>
    <row r="417" spans="2:5">
      <c r="B417" t="s">
        <v>4168</v>
      </c>
      <c r="C417">
        <v>255</v>
      </c>
      <c r="D417">
        <v>15</v>
      </c>
      <c r="E417">
        <v>0</v>
      </c>
    </row>
    <row r="418" spans="2:5">
      <c r="B418" t="s">
        <v>4168</v>
      </c>
      <c r="C418">
        <v>330</v>
      </c>
      <c r="D418">
        <v>5</v>
      </c>
      <c r="E418">
        <v>0</v>
      </c>
    </row>
    <row r="419" spans="2:5">
      <c r="B419" t="s">
        <v>4168</v>
      </c>
      <c r="C419">
        <v>97</v>
      </c>
      <c r="D419">
        <v>7</v>
      </c>
      <c r="E419">
        <v>0</v>
      </c>
    </row>
    <row r="420" spans="2:5">
      <c r="B420" t="s">
        <v>4168</v>
      </c>
      <c r="C420">
        <v>267</v>
      </c>
      <c r="D420">
        <v>2</v>
      </c>
      <c r="E420">
        <v>0</v>
      </c>
    </row>
    <row r="421" spans="2:5">
      <c r="B421" t="s">
        <v>4168</v>
      </c>
      <c r="C421">
        <v>281</v>
      </c>
      <c r="D421">
        <v>6</v>
      </c>
      <c r="E421">
        <v>0</v>
      </c>
    </row>
    <row r="422" spans="2:5">
      <c r="B422" t="s">
        <v>4168</v>
      </c>
      <c r="C422">
        <v>633</v>
      </c>
      <c r="D422">
        <v>9</v>
      </c>
      <c r="E422">
        <v>2</v>
      </c>
    </row>
    <row r="423" spans="2:5">
      <c r="B423" t="s">
        <v>4168</v>
      </c>
      <c r="C423">
        <v>84</v>
      </c>
      <c r="D423">
        <v>3</v>
      </c>
      <c r="E423">
        <v>0</v>
      </c>
    </row>
    <row r="424" spans="2:5">
      <c r="B424" t="s">
        <v>4168</v>
      </c>
      <c r="C424">
        <v>283</v>
      </c>
      <c r="D424">
        <v>2</v>
      </c>
      <c r="E424">
        <v>0</v>
      </c>
    </row>
    <row r="425" spans="2:5">
      <c r="B425" t="s">
        <v>4168</v>
      </c>
      <c r="C425">
        <v>135</v>
      </c>
      <c r="D425">
        <v>2</v>
      </c>
      <c r="E425">
        <v>0</v>
      </c>
    </row>
    <row r="426" spans="2:5">
      <c r="B426" t="s">
        <v>4168</v>
      </c>
      <c r="C426">
        <v>450</v>
      </c>
      <c r="D426">
        <v>5</v>
      </c>
      <c r="E426">
        <v>0</v>
      </c>
    </row>
    <row r="427" spans="2:5">
      <c r="B427" t="s">
        <v>4168</v>
      </c>
      <c r="C427">
        <v>218</v>
      </c>
      <c r="D427">
        <v>6</v>
      </c>
      <c r="E427">
        <v>0</v>
      </c>
    </row>
    <row r="428" spans="2:5">
      <c r="B428" t="s">
        <v>4168</v>
      </c>
      <c r="C428">
        <v>229</v>
      </c>
      <c r="D428">
        <v>9</v>
      </c>
      <c r="E428">
        <v>0</v>
      </c>
    </row>
    <row r="429" spans="2:5">
      <c r="B429" t="s">
        <v>4168</v>
      </c>
      <c r="C429">
        <v>206</v>
      </c>
      <c r="D429">
        <v>11</v>
      </c>
      <c r="E429">
        <v>4</v>
      </c>
    </row>
    <row r="430" spans="2:5">
      <c r="B430" t="s">
        <v>4168</v>
      </c>
      <c r="C430">
        <v>133</v>
      </c>
      <c r="D430">
        <v>0</v>
      </c>
      <c r="E430">
        <v>0</v>
      </c>
    </row>
    <row r="431" spans="2:5">
      <c r="B431" t="s">
        <v>4168</v>
      </c>
      <c r="C431">
        <v>171</v>
      </c>
      <c r="D431">
        <v>7</v>
      </c>
      <c r="E431">
        <v>0</v>
      </c>
    </row>
    <row r="432" spans="2:5">
      <c r="B432" t="s">
        <v>4168</v>
      </c>
      <c r="C432">
        <v>185</v>
      </c>
      <c r="D432">
        <v>1</v>
      </c>
      <c r="E432">
        <v>0</v>
      </c>
    </row>
    <row r="433" spans="2:5">
      <c r="B433" t="s">
        <v>4168</v>
      </c>
      <c r="C433">
        <v>353</v>
      </c>
      <c r="D433">
        <v>13</v>
      </c>
      <c r="E433">
        <v>0</v>
      </c>
    </row>
    <row r="434" spans="2:5">
      <c r="B434" t="s">
        <v>4168</v>
      </c>
      <c r="C434">
        <v>148</v>
      </c>
      <c r="D434">
        <v>7</v>
      </c>
      <c r="E434">
        <v>0</v>
      </c>
    </row>
    <row r="435" spans="2:5">
      <c r="B435" t="s">
        <v>4168</v>
      </c>
      <c r="C435">
        <v>291</v>
      </c>
      <c r="D435">
        <v>11</v>
      </c>
      <c r="E435">
        <v>4</v>
      </c>
    </row>
    <row r="436" spans="2:5">
      <c r="B436" t="s">
        <v>4168</v>
      </c>
      <c r="C436">
        <v>142</v>
      </c>
      <c r="D436">
        <v>2</v>
      </c>
      <c r="E436">
        <v>0</v>
      </c>
    </row>
    <row r="437" spans="2:5">
      <c r="B437" t="s">
        <v>4168</v>
      </c>
      <c r="C437">
        <v>278</v>
      </c>
      <c r="D437">
        <v>6</v>
      </c>
      <c r="E437">
        <v>0</v>
      </c>
    </row>
    <row r="438" spans="2:5">
      <c r="B438" t="s">
        <v>4168</v>
      </c>
      <c r="C438">
        <v>126</v>
      </c>
      <c r="D438">
        <v>4</v>
      </c>
      <c r="E438">
        <v>2</v>
      </c>
    </row>
    <row r="439" spans="2:5">
      <c r="B439" t="s">
        <v>4168</v>
      </c>
      <c r="C439">
        <v>300</v>
      </c>
      <c r="D439">
        <v>10</v>
      </c>
      <c r="E439">
        <v>0</v>
      </c>
    </row>
    <row r="440" spans="2:5">
      <c r="B440" t="s">
        <v>4168</v>
      </c>
      <c r="C440">
        <v>202</v>
      </c>
      <c r="D440">
        <v>3</v>
      </c>
      <c r="E440">
        <v>0</v>
      </c>
    </row>
    <row r="441" spans="2:5">
      <c r="B441" t="s">
        <v>4168</v>
      </c>
      <c r="C441">
        <v>371</v>
      </c>
      <c r="D441">
        <v>0</v>
      </c>
      <c r="E441">
        <v>0</v>
      </c>
    </row>
    <row r="442" spans="2:5">
      <c r="B442" t="s">
        <v>4168</v>
      </c>
      <c r="C442">
        <v>603</v>
      </c>
      <c r="D442">
        <v>13</v>
      </c>
      <c r="E442">
        <v>0</v>
      </c>
    </row>
    <row r="443" spans="2:5">
      <c r="B443" t="s">
        <v>4168</v>
      </c>
      <c r="C443">
        <v>603</v>
      </c>
      <c r="D443">
        <v>13</v>
      </c>
      <c r="E443">
        <v>0</v>
      </c>
    </row>
    <row r="444" spans="2:5">
      <c r="B444" t="s">
        <v>4168</v>
      </c>
      <c r="C444">
        <v>164</v>
      </c>
      <c r="D444">
        <v>6</v>
      </c>
      <c r="E444">
        <v>0</v>
      </c>
    </row>
    <row r="445" spans="2:5">
      <c r="B445" t="s">
        <v>4168</v>
      </c>
      <c r="C445">
        <v>270</v>
      </c>
      <c r="D445">
        <v>1</v>
      </c>
      <c r="E445">
        <v>0</v>
      </c>
    </row>
    <row r="446" spans="2:5">
      <c r="B446" t="s">
        <v>4168</v>
      </c>
      <c r="C446">
        <v>212</v>
      </c>
      <c r="D446">
        <v>0</v>
      </c>
      <c r="E446">
        <v>0</v>
      </c>
    </row>
    <row r="447" spans="2:5">
      <c r="B447" t="s">
        <v>4168</v>
      </c>
      <c r="C447">
        <v>295</v>
      </c>
      <c r="D447">
        <v>0</v>
      </c>
      <c r="E447">
        <v>0</v>
      </c>
    </row>
    <row r="448" spans="2:5">
      <c r="B448" t="s">
        <v>4168</v>
      </c>
      <c r="C448">
        <v>301</v>
      </c>
      <c r="D448">
        <v>5</v>
      </c>
      <c r="E448">
        <v>4</v>
      </c>
    </row>
    <row r="449" spans="2:5">
      <c r="B449" t="s">
        <v>4168</v>
      </c>
      <c r="C449">
        <v>136</v>
      </c>
      <c r="D449">
        <v>1</v>
      </c>
      <c r="E449">
        <v>0</v>
      </c>
    </row>
    <row r="450" spans="2:5">
      <c r="B450" t="s">
        <v>4168</v>
      </c>
      <c r="C450">
        <v>319</v>
      </c>
      <c r="D450">
        <v>7</v>
      </c>
      <c r="E450">
        <v>0</v>
      </c>
    </row>
    <row r="451" spans="2:5">
      <c r="B451" t="s">
        <v>4168</v>
      </c>
      <c r="C451">
        <v>398</v>
      </c>
      <c r="D451">
        <v>14</v>
      </c>
      <c r="E451">
        <v>0</v>
      </c>
    </row>
    <row r="452" spans="2:5">
      <c r="B452" t="s">
        <v>4168</v>
      </c>
      <c r="C452">
        <v>93</v>
      </c>
      <c r="D452">
        <v>0</v>
      </c>
      <c r="E452">
        <v>0</v>
      </c>
    </row>
    <row r="453" spans="2:5">
      <c r="B453" t="s">
        <v>4168</v>
      </c>
      <c r="C453">
        <v>256</v>
      </c>
      <c r="D453">
        <v>18</v>
      </c>
      <c r="E453">
        <v>0</v>
      </c>
    </row>
    <row r="454" spans="2:5">
      <c r="B454" t="s">
        <v>4168</v>
      </c>
      <c r="C454">
        <v>311</v>
      </c>
      <c r="D454">
        <v>3</v>
      </c>
      <c r="E454">
        <v>0</v>
      </c>
    </row>
    <row r="455" spans="2:5">
      <c r="B455" t="s">
        <v>4168</v>
      </c>
      <c r="C455">
        <v>375</v>
      </c>
      <c r="D455">
        <v>4</v>
      </c>
      <c r="E455">
        <v>0</v>
      </c>
    </row>
    <row r="456" spans="2:5">
      <c r="B456" t="s">
        <v>4168</v>
      </c>
      <c r="C456">
        <v>375</v>
      </c>
      <c r="D456">
        <v>4</v>
      </c>
      <c r="E456">
        <v>0</v>
      </c>
    </row>
    <row r="457" spans="2:5">
      <c r="B457" t="s">
        <v>4168</v>
      </c>
      <c r="C457">
        <v>611</v>
      </c>
      <c r="D457">
        <v>4</v>
      </c>
      <c r="E457">
        <v>0</v>
      </c>
    </row>
    <row r="458" spans="2:5">
      <c r="B458" t="s">
        <v>4168</v>
      </c>
      <c r="C458">
        <v>611</v>
      </c>
      <c r="D458">
        <v>4</v>
      </c>
      <c r="E458">
        <v>0</v>
      </c>
    </row>
    <row r="459" spans="2:5">
      <c r="B459" t="s">
        <v>4168</v>
      </c>
      <c r="C459">
        <v>611</v>
      </c>
      <c r="D459">
        <v>4</v>
      </c>
      <c r="E459">
        <v>0</v>
      </c>
    </row>
    <row r="460" spans="2:5">
      <c r="B460" t="s">
        <v>4168</v>
      </c>
      <c r="C460">
        <v>187</v>
      </c>
      <c r="D460">
        <v>6</v>
      </c>
      <c r="E460">
        <v>2</v>
      </c>
    </row>
    <row r="461" spans="2:5">
      <c r="B461" t="s">
        <v>4168</v>
      </c>
      <c r="C461">
        <v>343</v>
      </c>
      <c r="D461">
        <v>2</v>
      </c>
      <c r="E461">
        <v>0</v>
      </c>
    </row>
    <row r="462" spans="2:5">
      <c r="B462" t="s">
        <v>4168</v>
      </c>
      <c r="C462">
        <v>347</v>
      </c>
      <c r="D462">
        <v>10</v>
      </c>
      <c r="E462">
        <v>2</v>
      </c>
    </row>
    <row r="463" spans="2:5">
      <c r="B463" t="s">
        <v>4168</v>
      </c>
      <c r="C463">
        <v>189</v>
      </c>
      <c r="D463">
        <v>4</v>
      </c>
      <c r="E463">
        <v>0</v>
      </c>
    </row>
    <row r="464" spans="2:5">
      <c r="B464" t="s">
        <v>4168</v>
      </c>
      <c r="C464">
        <v>96</v>
      </c>
      <c r="D464">
        <v>2</v>
      </c>
      <c r="E464">
        <v>0</v>
      </c>
    </row>
    <row r="465" spans="2:5">
      <c r="B465" t="s">
        <v>4168</v>
      </c>
      <c r="C465">
        <v>172</v>
      </c>
      <c r="D465">
        <v>0</v>
      </c>
      <c r="E465">
        <v>0</v>
      </c>
    </row>
    <row r="466" spans="2:5">
      <c r="B466" t="s">
        <v>4168</v>
      </c>
      <c r="C466">
        <v>146</v>
      </c>
      <c r="D466">
        <v>12</v>
      </c>
      <c r="E466">
        <v>2</v>
      </c>
    </row>
    <row r="467" spans="2:5">
      <c r="B467" t="s">
        <v>4168</v>
      </c>
      <c r="C467">
        <v>49</v>
      </c>
      <c r="D467">
        <v>3</v>
      </c>
      <c r="E467">
        <v>2</v>
      </c>
    </row>
    <row r="468" spans="2:5">
      <c r="B468" t="s">
        <v>4168</v>
      </c>
      <c r="C468">
        <v>157</v>
      </c>
      <c r="D468">
        <v>1</v>
      </c>
      <c r="E468">
        <v>0</v>
      </c>
    </row>
    <row r="469" spans="2:5">
      <c r="B469" t="s">
        <v>4168</v>
      </c>
      <c r="C469">
        <v>211</v>
      </c>
      <c r="D469">
        <v>0</v>
      </c>
      <c r="E469">
        <v>0</v>
      </c>
    </row>
    <row r="470" spans="2:5">
      <c r="B470" t="s">
        <v>4168</v>
      </c>
      <c r="C470">
        <v>422</v>
      </c>
      <c r="D470">
        <v>7</v>
      </c>
      <c r="E470">
        <v>0</v>
      </c>
    </row>
    <row r="471" spans="2:5">
      <c r="B471" t="s">
        <v>4168</v>
      </c>
      <c r="C471">
        <v>309</v>
      </c>
      <c r="D471">
        <v>8</v>
      </c>
      <c r="E471">
        <v>0</v>
      </c>
    </row>
    <row r="472" spans="2:5">
      <c r="B472" t="s">
        <v>4168</v>
      </c>
      <c r="C472">
        <v>217</v>
      </c>
      <c r="D472">
        <v>8</v>
      </c>
      <c r="E472">
        <v>0</v>
      </c>
    </row>
    <row r="473" spans="2:5">
      <c r="B473" t="s">
        <v>4168</v>
      </c>
      <c r="C473">
        <v>93</v>
      </c>
      <c r="D473">
        <v>4</v>
      </c>
      <c r="E473">
        <v>2</v>
      </c>
    </row>
    <row r="474" spans="2:5">
      <c r="B474" t="s">
        <v>4168</v>
      </c>
      <c r="C474">
        <v>138</v>
      </c>
      <c r="D474">
        <v>1</v>
      </c>
      <c r="E474">
        <v>0</v>
      </c>
    </row>
    <row r="475" spans="2:5">
      <c r="B475" t="s">
        <v>4168</v>
      </c>
      <c r="C475">
        <v>174</v>
      </c>
      <c r="D475">
        <v>11</v>
      </c>
      <c r="E475">
        <v>2</v>
      </c>
    </row>
    <row r="476" spans="2:5">
      <c r="B476" t="s">
        <v>4168</v>
      </c>
      <c r="C476">
        <v>371</v>
      </c>
      <c r="D476">
        <v>9</v>
      </c>
      <c r="E476">
        <v>0</v>
      </c>
    </row>
    <row r="477" spans="2:5">
      <c r="B477" t="s">
        <v>4168</v>
      </c>
      <c r="C477">
        <v>138</v>
      </c>
      <c r="D477">
        <v>0</v>
      </c>
      <c r="E477">
        <v>0</v>
      </c>
    </row>
    <row r="478" spans="2:5">
      <c r="B478" t="s">
        <v>4168</v>
      </c>
      <c r="C478">
        <v>424</v>
      </c>
      <c r="D478">
        <v>15</v>
      </c>
      <c r="E478">
        <v>2</v>
      </c>
    </row>
    <row r="479" spans="2:5">
      <c r="B479" t="s">
        <v>4168</v>
      </c>
      <c r="C479">
        <v>56</v>
      </c>
      <c r="D479">
        <v>3</v>
      </c>
      <c r="E479">
        <v>0</v>
      </c>
    </row>
    <row r="480" spans="2:5">
      <c r="B480" t="s">
        <v>4168</v>
      </c>
      <c r="C480">
        <v>132</v>
      </c>
      <c r="D480">
        <v>9</v>
      </c>
      <c r="E480">
        <v>0</v>
      </c>
    </row>
    <row r="481" spans="2:5">
      <c r="B481" t="s">
        <v>4168</v>
      </c>
      <c r="C481">
        <v>734</v>
      </c>
      <c r="D481">
        <v>4</v>
      </c>
      <c r="E481">
        <v>0</v>
      </c>
    </row>
    <row r="482" spans="2:5">
      <c r="B482" t="s">
        <v>4168</v>
      </c>
      <c r="C482">
        <v>170</v>
      </c>
      <c r="D482">
        <v>4</v>
      </c>
      <c r="E482">
        <v>2</v>
      </c>
    </row>
    <row r="483" spans="2:5">
      <c r="B483" t="s">
        <v>4168</v>
      </c>
      <c r="C483">
        <v>98</v>
      </c>
      <c r="D483">
        <v>6</v>
      </c>
      <c r="E483">
        <v>2</v>
      </c>
    </row>
    <row r="484" spans="2:5">
      <c r="B484" t="s">
        <v>4168</v>
      </c>
      <c r="C484">
        <v>88</v>
      </c>
      <c r="D484">
        <v>3</v>
      </c>
      <c r="E484">
        <v>0</v>
      </c>
    </row>
    <row r="485" spans="2:5">
      <c r="B485" t="s">
        <v>4168</v>
      </c>
      <c r="C485">
        <v>381</v>
      </c>
      <c r="D485">
        <v>1</v>
      </c>
      <c r="E485">
        <v>0</v>
      </c>
    </row>
    <row r="486" spans="2:5">
      <c r="B486" t="s">
        <v>4168</v>
      </c>
      <c r="C486">
        <v>66</v>
      </c>
      <c r="D486">
        <v>1</v>
      </c>
      <c r="E486">
        <v>0</v>
      </c>
    </row>
    <row r="487" spans="2:5">
      <c r="B487" t="s">
        <v>4168</v>
      </c>
      <c r="C487">
        <v>147</v>
      </c>
      <c r="D487">
        <v>0</v>
      </c>
      <c r="E487">
        <v>0</v>
      </c>
    </row>
    <row r="488" spans="2:5">
      <c r="B488" t="s">
        <v>4168</v>
      </c>
      <c r="C488">
        <v>428</v>
      </c>
      <c r="D488">
        <v>12</v>
      </c>
      <c r="E488">
        <v>2</v>
      </c>
    </row>
    <row r="489" spans="2:5">
      <c r="B489" t="s">
        <v>4168</v>
      </c>
      <c r="C489">
        <v>192</v>
      </c>
      <c r="D489">
        <v>2</v>
      </c>
      <c r="E489">
        <v>0</v>
      </c>
    </row>
    <row r="490" spans="2:5">
      <c r="B490" t="s">
        <v>4168</v>
      </c>
      <c r="C490">
        <v>112</v>
      </c>
      <c r="D490">
        <v>3</v>
      </c>
      <c r="E490">
        <v>0</v>
      </c>
    </row>
    <row r="491" spans="2:5">
      <c r="B491" t="s">
        <v>4168</v>
      </c>
      <c r="C491">
        <v>102</v>
      </c>
      <c r="D491">
        <v>3</v>
      </c>
      <c r="E491">
        <v>0</v>
      </c>
    </row>
    <row r="492" spans="2:5">
      <c r="B492" t="s">
        <v>4168</v>
      </c>
      <c r="C492">
        <v>268</v>
      </c>
      <c r="D492">
        <v>6</v>
      </c>
      <c r="E492">
        <v>0</v>
      </c>
    </row>
    <row r="493" spans="2:5">
      <c r="B493" t="s">
        <v>4168</v>
      </c>
      <c r="C493">
        <v>226</v>
      </c>
      <c r="D493">
        <v>5</v>
      </c>
      <c r="E493">
        <v>0</v>
      </c>
    </row>
    <row r="494" spans="2:5">
      <c r="B494" t="s">
        <v>4168</v>
      </c>
      <c r="C494">
        <v>290</v>
      </c>
      <c r="D494">
        <v>1</v>
      </c>
      <c r="E494">
        <v>0</v>
      </c>
    </row>
    <row r="495" spans="2:5">
      <c r="B495" t="s">
        <v>4168</v>
      </c>
      <c r="C495">
        <v>337</v>
      </c>
      <c r="D495">
        <v>3</v>
      </c>
      <c r="E495">
        <v>0</v>
      </c>
    </row>
    <row r="496" spans="2:5">
      <c r="B496" t="s">
        <v>4168</v>
      </c>
      <c r="C496">
        <v>231</v>
      </c>
      <c r="D496">
        <v>7</v>
      </c>
      <c r="E496">
        <v>0</v>
      </c>
    </row>
    <row r="497" spans="2:5">
      <c r="B497" t="s">
        <v>4168</v>
      </c>
      <c r="C497">
        <v>189</v>
      </c>
      <c r="D497">
        <v>11</v>
      </c>
      <c r="E497">
        <v>0</v>
      </c>
    </row>
    <row r="498" spans="2:5">
      <c r="B498" t="s">
        <v>4168</v>
      </c>
      <c r="C498">
        <v>324</v>
      </c>
      <c r="D498">
        <v>6</v>
      </c>
      <c r="E498">
        <v>2</v>
      </c>
    </row>
    <row r="499" spans="2:5">
      <c r="B499" t="s">
        <v>4168</v>
      </c>
      <c r="C499">
        <v>276</v>
      </c>
      <c r="D499">
        <v>0</v>
      </c>
      <c r="E499">
        <v>0</v>
      </c>
    </row>
    <row r="500" spans="2:5">
      <c r="B500" t="s">
        <v>4168</v>
      </c>
      <c r="C500">
        <v>455</v>
      </c>
      <c r="D500">
        <v>8</v>
      </c>
      <c r="E500">
        <v>2</v>
      </c>
    </row>
    <row r="501" spans="2:5">
      <c r="B501" t="s">
        <v>4168</v>
      </c>
      <c r="C501">
        <v>420</v>
      </c>
      <c r="D501">
        <v>1</v>
      </c>
      <c r="E501">
        <v>0</v>
      </c>
    </row>
    <row r="502" spans="2:5">
      <c r="B502" t="s">
        <v>4168</v>
      </c>
      <c r="C502">
        <v>424</v>
      </c>
      <c r="D502">
        <v>10</v>
      </c>
      <c r="E502">
        <v>0</v>
      </c>
    </row>
    <row r="503" spans="2:5">
      <c r="B503" t="s">
        <v>4168</v>
      </c>
      <c r="C503">
        <v>199</v>
      </c>
      <c r="D503">
        <v>9</v>
      </c>
      <c r="E503">
        <v>0</v>
      </c>
    </row>
    <row r="504" spans="2:5">
      <c r="B504" t="s">
        <v>4168</v>
      </c>
      <c r="C504">
        <v>472</v>
      </c>
      <c r="D504">
        <v>9</v>
      </c>
      <c r="E504">
        <v>2</v>
      </c>
    </row>
    <row r="505" spans="2:5">
      <c r="B505" t="s">
        <v>4168</v>
      </c>
      <c r="C505">
        <v>472</v>
      </c>
      <c r="D505">
        <v>9</v>
      </c>
      <c r="E505">
        <v>2</v>
      </c>
    </row>
    <row r="506" spans="2:5">
      <c r="B506" t="s">
        <v>4168</v>
      </c>
      <c r="C506">
        <v>342</v>
      </c>
      <c r="D506">
        <v>3</v>
      </c>
      <c r="E506">
        <v>0</v>
      </c>
    </row>
    <row r="507" spans="2:5">
      <c r="B507" t="s">
        <v>4168</v>
      </c>
      <c r="C507">
        <v>172</v>
      </c>
      <c r="D507">
        <v>3</v>
      </c>
      <c r="E507">
        <v>0</v>
      </c>
    </row>
    <row r="508" spans="2:5">
      <c r="B508" t="s">
        <v>4168</v>
      </c>
      <c r="C508">
        <v>169</v>
      </c>
      <c r="D508">
        <v>10</v>
      </c>
      <c r="E508">
        <v>4</v>
      </c>
    </row>
    <row r="509" spans="2:5">
      <c r="B509" t="s">
        <v>4168</v>
      </c>
      <c r="C509">
        <v>146</v>
      </c>
      <c r="D509">
        <v>2</v>
      </c>
      <c r="E509">
        <v>0</v>
      </c>
    </row>
    <row r="510" spans="2:5">
      <c r="B510" t="s">
        <v>4168</v>
      </c>
      <c r="C510">
        <v>586</v>
      </c>
      <c r="D510">
        <v>3</v>
      </c>
      <c r="E510">
        <v>0</v>
      </c>
    </row>
    <row r="511" spans="2:5">
      <c r="B511" t="s">
        <v>4168</v>
      </c>
      <c r="C511">
        <v>202</v>
      </c>
      <c r="D511">
        <v>0</v>
      </c>
      <c r="E511">
        <v>0</v>
      </c>
    </row>
    <row r="512" spans="2:5">
      <c r="B512" t="s">
        <v>4168</v>
      </c>
      <c r="C512">
        <v>257</v>
      </c>
      <c r="D512">
        <v>5</v>
      </c>
      <c r="E512">
        <v>0</v>
      </c>
    </row>
    <row r="513" spans="2:5">
      <c r="B513" t="s">
        <v>4168</v>
      </c>
      <c r="C513">
        <v>134</v>
      </c>
      <c r="D513">
        <v>2</v>
      </c>
      <c r="E513">
        <v>0</v>
      </c>
    </row>
    <row r="514" spans="2:5">
      <c r="B514" t="s">
        <v>4168</v>
      </c>
      <c r="C514">
        <v>177</v>
      </c>
      <c r="D514">
        <v>6</v>
      </c>
      <c r="E514">
        <v>0</v>
      </c>
    </row>
    <row r="515" spans="2:5">
      <c r="B515" t="s">
        <v>4168</v>
      </c>
      <c r="C515">
        <v>85</v>
      </c>
      <c r="D515">
        <v>2</v>
      </c>
      <c r="E515">
        <v>0</v>
      </c>
    </row>
    <row r="516" spans="2:5">
      <c r="B516" t="s">
        <v>4168</v>
      </c>
      <c r="C516">
        <v>344</v>
      </c>
      <c r="D516">
        <v>6</v>
      </c>
      <c r="E516">
        <v>0</v>
      </c>
    </row>
    <row r="517" spans="2:5">
      <c r="B517" t="s">
        <v>4168</v>
      </c>
      <c r="C517">
        <v>281</v>
      </c>
      <c r="D517">
        <v>7</v>
      </c>
      <c r="E517">
        <v>0</v>
      </c>
    </row>
    <row r="518" spans="2:5">
      <c r="B518" t="s">
        <v>4168</v>
      </c>
      <c r="C518">
        <v>313</v>
      </c>
      <c r="D518">
        <v>5</v>
      </c>
      <c r="E518">
        <v>2</v>
      </c>
    </row>
    <row r="519" spans="2:5">
      <c r="B519" t="s">
        <v>4168</v>
      </c>
      <c r="C519">
        <v>146</v>
      </c>
      <c r="D519">
        <v>3</v>
      </c>
      <c r="E519">
        <v>0</v>
      </c>
    </row>
    <row r="520" spans="2:5">
      <c r="B520" t="s">
        <v>4168</v>
      </c>
      <c r="C520">
        <v>643</v>
      </c>
      <c r="D520">
        <v>7</v>
      </c>
      <c r="E520">
        <v>0</v>
      </c>
    </row>
    <row r="521" spans="2:5">
      <c r="B521" t="s">
        <v>4168</v>
      </c>
      <c r="C521">
        <v>152</v>
      </c>
      <c r="D521">
        <v>0</v>
      </c>
      <c r="E521">
        <v>0</v>
      </c>
    </row>
    <row r="522" spans="2:5">
      <c r="B522" t="s">
        <v>4168</v>
      </c>
      <c r="C522">
        <v>126</v>
      </c>
      <c r="D522">
        <v>0</v>
      </c>
      <c r="E522">
        <v>0</v>
      </c>
    </row>
    <row r="523" spans="2:5">
      <c r="B523" t="s">
        <v>4168</v>
      </c>
      <c r="C523">
        <v>126</v>
      </c>
      <c r="D523">
        <v>4</v>
      </c>
      <c r="E523">
        <v>0</v>
      </c>
    </row>
    <row r="524" spans="2:5">
      <c r="B524" t="s">
        <v>4168</v>
      </c>
      <c r="C524">
        <v>210</v>
      </c>
      <c r="D524">
        <v>3</v>
      </c>
      <c r="E524">
        <v>0</v>
      </c>
    </row>
    <row r="525" spans="2:5">
      <c r="B525" t="s">
        <v>4168</v>
      </c>
      <c r="C525">
        <v>240</v>
      </c>
      <c r="D525">
        <v>5</v>
      </c>
      <c r="E525">
        <v>2</v>
      </c>
    </row>
    <row r="526" spans="2:5">
      <c r="B526" t="s">
        <v>4168</v>
      </c>
      <c r="C526">
        <v>312</v>
      </c>
      <c r="D526">
        <v>3</v>
      </c>
      <c r="E526">
        <v>0</v>
      </c>
    </row>
    <row r="527" spans="2:5">
      <c r="B527" t="s">
        <v>4168</v>
      </c>
      <c r="C527">
        <v>423</v>
      </c>
      <c r="D527">
        <v>5</v>
      </c>
      <c r="E527">
        <v>0</v>
      </c>
    </row>
    <row r="528" spans="2:5">
      <c r="B528" t="s">
        <v>4168</v>
      </c>
      <c r="C528">
        <v>372</v>
      </c>
      <c r="D528">
        <v>8</v>
      </c>
      <c r="E528">
        <v>0</v>
      </c>
    </row>
    <row r="529" spans="2:5">
      <c r="B529" t="s">
        <v>4168</v>
      </c>
      <c r="C529">
        <v>319</v>
      </c>
      <c r="D529">
        <v>2</v>
      </c>
      <c r="E529">
        <v>0</v>
      </c>
    </row>
    <row r="530" spans="2:5">
      <c r="B530" t="s">
        <v>4168</v>
      </c>
      <c r="C530">
        <v>325</v>
      </c>
      <c r="D530">
        <v>6</v>
      </c>
      <c r="E530">
        <v>0</v>
      </c>
    </row>
    <row r="531" spans="2:5">
      <c r="B531" t="s">
        <v>4168</v>
      </c>
      <c r="C531">
        <v>290</v>
      </c>
      <c r="D531">
        <v>3</v>
      </c>
      <c r="E531">
        <v>0</v>
      </c>
    </row>
    <row r="532" spans="2:5">
      <c r="B532" t="s">
        <v>4168</v>
      </c>
      <c r="C532">
        <v>313</v>
      </c>
      <c r="D532">
        <v>6</v>
      </c>
      <c r="E532">
        <v>2</v>
      </c>
    </row>
    <row r="533" spans="2:5">
      <c r="B533" t="s">
        <v>4168</v>
      </c>
      <c r="C533">
        <v>227</v>
      </c>
      <c r="D533">
        <v>3</v>
      </c>
      <c r="E533">
        <v>0</v>
      </c>
    </row>
    <row r="534" spans="2:5">
      <c r="B534" t="s">
        <v>4168</v>
      </c>
      <c r="C534">
        <v>255</v>
      </c>
      <c r="D534">
        <v>3</v>
      </c>
      <c r="E534">
        <v>0</v>
      </c>
    </row>
    <row r="535" spans="2:5">
      <c r="B535" t="s">
        <v>4168</v>
      </c>
      <c r="C535">
        <v>255</v>
      </c>
      <c r="D535">
        <v>3</v>
      </c>
      <c r="E535">
        <v>0</v>
      </c>
    </row>
    <row r="536" spans="2:5">
      <c r="B536" t="s">
        <v>4168</v>
      </c>
      <c r="C536">
        <v>255</v>
      </c>
      <c r="D536">
        <v>3</v>
      </c>
      <c r="E536">
        <v>0</v>
      </c>
    </row>
    <row r="537" spans="2:5">
      <c r="B537" t="s">
        <v>4168</v>
      </c>
      <c r="C537">
        <v>255</v>
      </c>
      <c r="D537">
        <v>3</v>
      </c>
      <c r="E537">
        <v>0</v>
      </c>
    </row>
    <row r="538" spans="2:5">
      <c r="B538" t="s">
        <v>4168</v>
      </c>
      <c r="C538">
        <v>44</v>
      </c>
      <c r="D538">
        <v>3</v>
      </c>
      <c r="E538">
        <v>0</v>
      </c>
    </row>
    <row r="539" spans="2:5">
      <c r="B539" t="s">
        <v>4168</v>
      </c>
      <c r="C539">
        <v>403</v>
      </c>
      <c r="D539">
        <v>4</v>
      </c>
      <c r="E539">
        <v>0</v>
      </c>
    </row>
    <row r="540" spans="2:5">
      <c r="B540" t="s">
        <v>4168</v>
      </c>
      <c r="C540">
        <v>395</v>
      </c>
      <c r="D540">
        <v>0</v>
      </c>
      <c r="E540">
        <v>0</v>
      </c>
    </row>
    <row r="541" spans="2:5">
      <c r="B541" t="s">
        <v>4168</v>
      </c>
      <c r="C541">
        <v>167</v>
      </c>
      <c r="D541">
        <v>1</v>
      </c>
      <c r="E541">
        <v>0</v>
      </c>
    </row>
    <row r="542" spans="2:5">
      <c r="B542" t="s">
        <v>4168</v>
      </c>
      <c r="C542">
        <v>151</v>
      </c>
      <c r="D542">
        <v>1</v>
      </c>
      <c r="E542">
        <v>0</v>
      </c>
    </row>
    <row r="543" spans="2:5">
      <c r="B543" t="s">
        <v>4168</v>
      </c>
      <c r="C543">
        <v>207</v>
      </c>
      <c r="D543">
        <v>3</v>
      </c>
      <c r="E543">
        <v>0</v>
      </c>
    </row>
    <row r="544" spans="2:5">
      <c r="B544" t="s">
        <v>4168</v>
      </c>
      <c r="C544">
        <v>334</v>
      </c>
      <c r="D544">
        <v>5</v>
      </c>
      <c r="E544">
        <v>0</v>
      </c>
    </row>
    <row r="545" spans="2:5">
      <c r="B545" t="s">
        <v>4168</v>
      </c>
      <c r="C545">
        <v>358</v>
      </c>
      <c r="D545">
        <v>0</v>
      </c>
      <c r="E545">
        <v>0</v>
      </c>
    </row>
    <row r="546" spans="2:5">
      <c r="B546" t="s">
        <v>4168</v>
      </c>
      <c r="C546">
        <v>140</v>
      </c>
      <c r="D546">
        <v>3</v>
      </c>
      <c r="E546">
        <v>0</v>
      </c>
    </row>
    <row r="547" spans="2:5">
      <c r="B547" t="s">
        <v>4168</v>
      </c>
      <c r="C547">
        <v>432</v>
      </c>
      <c r="D547">
        <v>6</v>
      </c>
      <c r="E547">
        <v>0</v>
      </c>
    </row>
    <row r="548" spans="2:5">
      <c r="B548" t="s">
        <v>4168</v>
      </c>
      <c r="C548">
        <v>269</v>
      </c>
      <c r="D548">
        <v>3</v>
      </c>
      <c r="E548">
        <v>0</v>
      </c>
    </row>
    <row r="549" spans="2:5">
      <c r="B549" t="s">
        <v>4168</v>
      </c>
      <c r="C549">
        <v>107</v>
      </c>
      <c r="D549">
        <v>3</v>
      </c>
      <c r="E549">
        <v>0</v>
      </c>
    </row>
    <row r="550" spans="2:5">
      <c r="B550" t="s">
        <v>4168</v>
      </c>
      <c r="C550">
        <v>213</v>
      </c>
      <c r="D550">
        <v>3</v>
      </c>
      <c r="E550">
        <v>0</v>
      </c>
    </row>
    <row r="551" spans="2:5">
      <c r="B551" t="s">
        <v>4168</v>
      </c>
      <c r="C551">
        <v>204</v>
      </c>
      <c r="D551">
        <v>1</v>
      </c>
      <c r="E551">
        <v>0</v>
      </c>
    </row>
    <row r="552" spans="2:5">
      <c r="B552" t="s">
        <v>4168</v>
      </c>
      <c r="C552">
        <v>60</v>
      </c>
      <c r="D552">
        <v>0</v>
      </c>
      <c r="E552">
        <v>0</v>
      </c>
    </row>
    <row r="553" spans="2:5">
      <c r="B553" t="s">
        <v>4168</v>
      </c>
      <c r="C553">
        <v>321</v>
      </c>
      <c r="D553">
        <v>8</v>
      </c>
      <c r="E553">
        <v>2</v>
      </c>
    </row>
    <row r="554" spans="2:5">
      <c r="B554" t="s">
        <v>4168</v>
      </c>
      <c r="C554">
        <v>286</v>
      </c>
      <c r="D554">
        <v>2</v>
      </c>
      <c r="E554">
        <v>0</v>
      </c>
    </row>
    <row r="555" spans="2:5">
      <c r="B555" t="s">
        <v>4168</v>
      </c>
      <c r="C555">
        <v>103</v>
      </c>
      <c r="D555">
        <v>5</v>
      </c>
      <c r="E555">
        <v>0</v>
      </c>
    </row>
    <row r="556" spans="2:5">
      <c r="B556" t="s">
        <v>4168</v>
      </c>
      <c r="C556">
        <v>804</v>
      </c>
      <c r="D556">
        <v>24</v>
      </c>
      <c r="E556">
        <v>6</v>
      </c>
    </row>
    <row r="557" spans="2:5">
      <c r="B557" t="s">
        <v>4168</v>
      </c>
      <c r="C557">
        <v>130</v>
      </c>
      <c r="D557">
        <v>6</v>
      </c>
      <c r="E557">
        <v>2</v>
      </c>
    </row>
    <row r="558" spans="2:5">
      <c r="B558" t="s">
        <v>4168</v>
      </c>
      <c r="C558">
        <v>90</v>
      </c>
      <c r="D558">
        <v>4</v>
      </c>
      <c r="E558">
        <v>0</v>
      </c>
    </row>
    <row r="559" spans="2:5">
      <c r="B559" t="s">
        <v>4168</v>
      </c>
      <c r="C559">
        <v>632</v>
      </c>
      <c r="D559">
        <v>6</v>
      </c>
      <c r="E559">
        <v>2</v>
      </c>
    </row>
    <row r="560" spans="2:5">
      <c r="B560" t="s">
        <v>4168</v>
      </c>
      <c r="C560">
        <v>400</v>
      </c>
      <c r="D560">
        <v>1</v>
      </c>
      <c r="E560">
        <v>0</v>
      </c>
    </row>
    <row r="561" spans="2:5">
      <c r="B561" t="s">
        <v>4168</v>
      </c>
      <c r="C561">
        <v>80</v>
      </c>
      <c r="D561">
        <v>3</v>
      </c>
      <c r="E561">
        <v>0</v>
      </c>
    </row>
    <row r="562" spans="2:5">
      <c r="B562" t="s">
        <v>4168</v>
      </c>
      <c r="C562">
        <v>257</v>
      </c>
      <c r="D562">
        <v>8</v>
      </c>
      <c r="E562">
        <v>0</v>
      </c>
    </row>
    <row r="563" spans="2:5">
      <c r="B563" t="s">
        <v>4168</v>
      </c>
      <c r="C563">
        <v>158</v>
      </c>
      <c r="D563">
        <v>3</v>
      </c>
      <c r="E563">
        <v>0</v>
      </c>
    </row>
    <row r="564" spans="2:5">
      <c r="B564" t="s">
        <v>4168</v>
      </c>
      <c r="C564">
        <v>134</v>
      </c>
      <c r="D564">
        <v>7</v>
      </c>
      <c r="E564">
        <v>2</v>
      </c>
    </row>
    <row r="565" spans="2:5">
      <c r="B565" t="s">
        <v>4168</v>
      </c>
      <c r="C565">
        <v>145</v>
      </c>
      <c r="D565">
        <v>2</v>
      </c>
      <c r="E565">
        <v>0</v>
      </c>
    </row>
    <row r="566" spans="2:5">
      <c r="B566" t="s">
        <v>4168</v>
      </c>
      <c r="C566">
        <v>157</v>
      </c>
      <c r="D566">
        <v>1</v>
      </c>
      <c r="E566">
        <v>0</v>
      </c>
    </row>
    <row r="567" spans="2:5">
      <c r="B567" t="s">
        <v>4168</v>
      </c>
      <c r="C567">
        <v>82</v>
      </c>
      <c r="D567">
        <v>0</v>
      </c>
      <c r="E567">
        <v>0</v>
      </c>
    </row>
    <row r="568" spans="2:5">
      <c r="B568" t="s">
        <v>4168</v>
      </c>
      <c r="C568">
        <v>271</v>
      </c>
      <c r="D568">
        <v>0</v>
      </c>
      <c r="E568">
        <v>0</v>
      </c>
    </row>
    <row r="569" spans="2:5">
      <c r="B569" t="s">
        <v>4168</v>
      </c>
      <c r="C569">
        <v>509</v>
      </c>
      <c r="D569">
        <v>8</v>
      </c>
      <c r="E569">
        <v>0</v>
      </c>
    </row>
    <row r="570" spans="2:5">
      <c r="B570" t="s">
        <v>4168</v>
      </c>
      <c r="C570">
        <v>87</v>
      </c>
      <c r="D570">
        <v>0</v>
      </c>
      <c r="E570">
        <v>0</v>
      </c>
    </row>
    <row r="571" spans="2:5">
      <c r="B571" t="s">
        <v>4168</v>
      </c>
      <c r="C571">
        <v>225</v>
      </c>
      <c r="D571">
        <v>3</v>
      </c>
      <c r="E571">
        <v>0</v>
      </c>
    </row>
    <row r="572" spans="2:5">
      <c r="B572" t="s">
        <v>4168</v>
      </c>
      <c r="C572">
        <v>450</v>
      </c>
      <c r="D572">
        <v>2</v>
      </c>
      <c r="E572">
        <v>0</v>
      </c>
    </row>
    <row r="573" spans="2:5">
      <c r="B573" t="s">
        <v>4168</v>
      </c>
      <c r="C573">
        <v>130</v>
      </c>
      <c r="D573">
        <v>2</v>
      </c>
      <c r="E573">
        <v>0</v>
      </c>
    </row>
    <row r="574" spans="2:5">
      <c r="B574" t="s">
        <v>4168</v>
      </c>
      <c r="C574">
        <v>386</v>
      </c>
      <c r="D574">
        <v>5</v>
      </c>
      <c r="E574">
        <v>0</v>
      </c>
    </row>
    <row r="575" spans="2:5">
      <c r="B575" t="s">
        <v>4168</v>
      </c>
      <c r="C575">
        <v>166</v>
      </c>
      <c r="D575">
        <v>1</v>
      </c>
      <c r="E575">
        <v>0</v>
      </c>
    </row>
    <row r="576" spans="2:5">
      <c r="B576" t="s">
        <v>4168</v>
      </c>
      <c r="C576">
        <v>86</v>
      </c>
      <c r="D576">
        <v>7</v>
      </c>
      <c r="E576">
        <v>0</v>
      </c>
    </row>
    <row r="577" spans="2:5">
      <c r="B577" t="s">
        <v>4168</v>
      </c>
      <c r="C577">
        <v>185</v>
      </c>
      <c r="D577">
        <v>3</v>
      </c>
      <c r="E577">
        <v>0</v>
      </c>
    </row>
    <row r="578" spans="2:5">
      <c r="B578" t="s">
        <v>4168</v>
      </c>
      <c r="C578">
        <v>214</v>
      </c>
      <c r="D578">
        <v>0</v>
      </c>
      <c r="E578">
        <v>0</v>
      </c>
    </row>
    <row r="579" spans="2:5">
      <c r="B579" t="s">
        <v>4168</v>
      </c>
      <c r="C579">
        <v>490</v>
      </c>
      <c r="D579">
        <v>5</v>
      </c>
      <c r="E579">
        <v>0</v>
      </c>
    </row>
    <row r="580" spans="2:5">
      <c r="B580" t="s">
        <v>4168</v>
      </c>
      <c r="C580">
        <v>183</v>
      </c>
      <c r="D580">
        <v>6</v>
      </c>
      <c r="E580">
        <v>0</v>
      </c>
    </row>
    <row r="581" spans="2:5">
      <c r="B581" t="s">
        <v>4168</v>
      </c>
      <c r="C581">
        <v>78</v>
      </c>
      <c r="D581">
        <v>1</v>
      </c>
      <c r="E581">
        <v>0</v>
      </c>
    </row>
    <row r="582" spans="2:5">
      <c r="B582" t="s">
        <v>4168</v>
      </c>
      <c r="C582">
        <v>79</v>
      </c>
      <c r="D582">
        <v>4</v>
      </c>
      <c r="E582">
        <v>2</v>
      </c>
    </row>
    <row r="583" spans="2:5">
      <c r="B583" t="s">
        <v>4168</v>
      </c>
      <c r="C583">
        <v>69</v>
      </c>
      <c r="D583">
        <v>4</v>
      </c>
      <c r="E583">
        <v>0</v>
      </c>
    </row>
    <row r="584" spans="2:5">
      <c r="B584" t="s">
        <v>4168</v>
      </c>
      <c r="C584">
        <v>106</v>
      </c>
      <c r="D584">
        <v>10</v>
      </c>
      <c r="E584">
        <v>2</v>
      </c>
    </row>
    <row r="585" spans="2:5">
      <c r="B585" t="s">
        <v>4168</v>
      </c>
      <c r="C585">
        <v>47</v>
      </c>
      <c r="D585">
        <v>3</v>
      </c>
      <c r="E585">
        <v>0</v>
      </c>
    </row>
    <row r="586" spans="2:5">
      <c r="B586" t="s">
        <v>4168</v>
      </c>
      <c r="C586">
        <v>207</v>
      </c>
      <c r="D586">
        <v>16</v>
      </c>
      <c r="E586">
        <v>4</v>
      </c>
    </row>
    <row r="587" spans="2:5">
      <c r="B587" t="s">
        <v>4168</v>
      </c>
      <c r="C587">
        <v>404</v>
      </c>
      <c r="D587">
        <v>6</v>
      </c>
      <c r="E587">
        <v>0</v>
      </c>
    </row>
    <row r="588" spans="2:5">
      <c r="B588" t="s">
        <v>4168</v>
      </c>
      <c r="C588">
        <v>78</v>
      </c>
      <c r="D588">
        <v>0</v>
      </c>
      <c r="E588">
        <v>0</v>
      </c>
    </row>
    <row r="589" spans="2:5">
      <c r="B589" t="s">
        <v>4168</v>
      </c>
      <c r="C589">
        <v>108</v>
      </c>
      <c r="D589">
        <v>8</v>
      </c>
      <c r="E589">
        <v>4</v>
      </c>
    </row>
    <row r="590" spans="2:5">
      <c r="B590" t="s">
        <v>4168</v>
      </c>
      <c r="C590">
        <v>91</v>
      </c>
      <c r="D590">
        <v>2</v>
      </c>
      <c r="E590">
        <v>0</v>
      </c>
    </row>
    <row r="591" spans="2:5">
      <c r="B591" t="s">
        <v>4168</v>
      </c>
      <c r="C591">
        <v>298</v>
      </c>
      <c r="D591">
        <v>0</v>
      </c>
      <c r="E591">
        <v>0</v>
      </c>
    </row>
    <row r="592" spans="2:5">
      <c r="B592" t="s">
        <v>4168</v>
      </c>
      <c r="C592">
        <v>282</v>
      </c>
      <c r="D592">
        <v>4</v>
      </c>
      <c r="E592">
        <v>0</v>
      </c>
    </row>
    <row r="593" spans="2:5">
      <c r="B593" t="s">
        <v>4168</v>
      </c>
      <c r="C593">
        <v>300</v>
      </c>
      <c r="D593">
        <v>10</v>
      </c>
      <c r="E593">
        <v>0</v>
      </c>
    </row>
    <row r="594" spans="2:5">
      <c r="B594" t="s">
        <v>4168</v>
      </c>
      <c r="C594">
        <v>292</v>
      </c>
      <c r="D594">
        <v>3</v>
      </c>
      <c r="E594">
        <v>0</v>
      </c>
    </row>
    <row r="595" spans="2:5">
      <c r="B595" t="s">
        <v>4168</v>
      </c>
      <c r="C595">
        <v>328</v>
      </c>
      <c r="D595">
        <v>10</v>
      </c>
      <c r="E595">
        <v>2</v>
      </c>
    </row>
    <row r="596" spans="2:5">
      <c r="B596" t="s">
        <v>4168</v>
      </c>
      <c r="C596">
        <v>465</v>
      </c>
      <c r="D596">
        <v>1</v>
      </c>
      <c r="E596">
        <v>0</v>
      </c>
    </row>
    <row r="597" spans="2:5">
      <c r="B597" t="s">
        <v>4168</v>
      </c>
      <c r="C597">
        <v>147</v>
      </c>
      <c r="D597">
        <v>0</v>
      </c>
      <c r="E597">
        <v>0</v>
      </c>
    </row>
    <row r="598" spans="2:5">
      <c r="B598" t="s">
        <v>4168</v>
      </c>
      <c r="C598">
        <v>406</v>
      </c>
      <c r="D598">
        <v>8</v>
      </c>
      <c r="E598">
        <v>0</v>
      </c>
    </row>
    <row r="599" spans="2:5">
      <c r="B599" t="s">
        <v>4168</v>
      </c>
      <c r="C599">
        <v>437</v>
      </c>
      <c r="D599">
        <v>7</v>
      </c>
      <c r="E599">
        <v>4</v>
      </c>
    </row>
    <row r="600" spans="2:5">
      <c r="B600" t="s">
        <v>4168</v>
      </c>
      <c r="C600">
        <v>261</v>
      </c>
      <c r="D600">
        <v>2</v>
      </c>
      <c r="E600">
        <v>0</v>
      </c>
    </row>
    <row r="601" spans="2:5">
      <c r="B601" t="s">
        <v>4168</v>
      </c>
      <c r="C601">
        <v>274</v>
      </c>
      <c r="D601">
        <v>5</v>
      </c>
      <c r="E601">
        <v>0</v>
      </c>
    </row>
    <row r="602" spans="2:5">
      <c r="B602" t="s">
        <v>4168</v>
      </c>
      <c r="C602">
        <v>341</v>
      </c>
      <c r="D602">
        <v>8</v>
      </c>
      <c r="E602">
        <v>2</v>
      </c>
    </row>
    <row r="603" spans="2:5">
      <c r="B603" t="s">
        <v>4168</v>
      </c>
      <c r="C603">
        <v>114</v>
      </c>
      <c r="D603">
        <v>3</v>
      </c>
      <c r="E603">
        <v>0</v>
      </c>
    </row>
    <row r="604" spans="2:5">
      <c r="B604" t="s">
        <v>4168</v>
      </c>
      <c r="C604">
        <v>127</v>
      </c>
      <c r="D604">
        <v>0</v>
      </c>
      <c r="E604">
        <v>0</v>
      </c>
    </row>
    <row r="605" spans="2:5">
      <c r="B605" t="s">
        <v>4168</v>
      </c>
      <c r="C605">
        <v>118</v>
      </c>
      <c r="D605">
        <v>0</v>
      </c>
      <c r="E605">
        <v>0</v>
      </c>
    </row>
    <row r="606" spans="2:5">
      <c r="B606" t="s">
        <v>4168</v>
      </c>
      <c r="C606">
        <v>95</v>
      </c>
      <c r="D606">
        <v>4</v>
      </c>
      <c r="E606">
        <v>0</v>
      </c>
    </row>
    <row r="607" spans="2:5">
      <c r="B607" t="s">
        <v>4168</v>
      </c>
      <c r="C607">
        <v>275</v>
      </c>
      <c r="D607">
        <v>3</v>
      </c>
      <c r="E607">
        <v>0</v>
      </c>
    </row>
    <row r="608" spans="2:5">
      <c r="B608" t="s">
        <v>4168</v>
      </c>
      <c r="C608">
        <v>462</v>
      </c>
      <c r="D608">
        <v>3</v>
      </c>
      <c r="E608">
        <v>0</v>
      </c>
    </row>
    <row r="609" spans="2:5">
      <c r="B609" t="s">
        <v>4168</v>
      </c>
      <c r="C609">
        <v>61</v>
      </c>
      <c r="D609">
        <v>3</v>
      </c>
      <c r="E609">
        <v>0</v>
      </c>
    </row>
    <row r="610" spans="2:5">
      <c r="B610" t="s">
        <v>4168</v>
      </c>
      <c r="C610">
        <v>276</v>
      </c>
      <c r="D610">
        <v>6</v>
      </c>
      <c r="E610">
        <v>2</v>
      </c>
    </row>
    <row r="611" spans="2:5">
      <c r="B611" t="s">
        <v>4168</v>
      </c>
      <c r="C611">
        <v>69</v>
      </c>
      <c r="D611">
        <v>2</v>
      </c>
      <c r="E611">
        <v>0</v>
      </c>
    </row>
    <row r="612" spans="2:5">
      <c r="B612" t="s">
        <v>4168</v>
      </c>
      <c r="C612">
        <v>101</v>
      </c>
      <c r="D612">
        <v>2</v>
      </c>
      <c r="E612">
        <v>0</v>
      </c>
    </row>
    <row r="613" spans="2:5">
      <c r="B613" t="s">
        <v>4168</v>
      </c>
      <c r="C613">
        <v>264</v>
      </c>
      <c r="D613">
        <v>8</v>
      </c>
      <c r="E613">
        <v>0</v>
      </c>
    </row>
    <row r="614" spans="2:5">
      <c r="B614" t="s">
        <v>4168</v>
      </c>
      <c r="C614">
        <v>156</v>
      </c>
      <c r="D614">
        <v>0</v>
      </c>
      <c r="E614">
        <v>0</v>
      </c>
    </row>
    <row r="615" spans="2:5">
      <c r="B615" t="s">
        <v>4168</v>
      </c>
      <c r="C615">
        <v>779</v>
      </c>
      <c r="D615">
        <v>11</v>
      </c>
      <c r="E615">
        <v>0</v>
      </c>
    </row>
    <row r="616" spans="2:5">
      <c r="B616" t="s">
        <v>4168</v>
      </c>
      <c r="C616">
        <v>248</v>
      </c>
      <c r="D616">
        <v>2</v>
      </c>
      <c r="E616">
        <v>0</v>
      </c>
    </row>
    <row r="617" spans="2:5">
      <c r="B617" t="s">
        <v>4168</v>
      </c>
      <c r="C617">
        <v>76</v>
      </c>
      <c r="D617">
        <v>0</v>
      </c>
      <c r="E617">
        <v>0</v>
      </c>
    </row>
    <row r="618" spans="2:5">
      <c r="B618" t="s">
        <v>4168</v>
      </c>
      <c r="C618">
        <v>77</v>
      </c>
      <c r="D618">
        <v>1</v>
      </c>
      <c r="E618">
        <v>0</v>
      </c>
    </row>
    <row r="619" spans="2:5">
      <c r="B619" t="s">
        <v>4168</v>
      </c>
      <c r="C619">
        <v>430</v>
      </c>
      <c r="D619">
        <v>8</v>
      </c>
      <c r="E619">
        <v>0</v>
      </c>
    </row>
    <row r="620" spans="2:5">
      <c r="B620" t="s">
        <v>4168</v>
      </c>
      <c r="C620">
        <v>511</v>
      </c>
      <c r="D620">
        <v>14</v>
      </c>
      <c r="E620">
        <v>2</v>
      </c>
    </row>
    <row r="621" spans="2:5">
      <c r="B621" t="s">
        <v>4168</v>
      </c>
      <c r="C621">
        <v>253</v>
      </c>
      <c r="D621">
        <v>4</v>
      </c>
      <c r="E621">
        <v>2</v>
      </c>
    </row>
    <row r="622" spans="2:5">
      <c r="B622" t="s">
        <v>4168</v>
      </c>
      <c r="C622">
        <v>394</v>
      </c>
      <c r="D622">
        <v>5</v>
      </c>
      <c r="E622">
        <v>0</v>
      </c>
    </row>
    <row r="623" spans="2:5">
      <c r="B623" t="s">
        <v>4168</v>
      </c>
      <c r="C623">
        <v>335</v>
      </c>
      <c r="D623">
        <v>0</v>
      </c>
      <c r="E623">
        <v>0</v>
      </c>
    </row>
    <row r="624" spans="2:5">
      <c r="B624" t="s">
        <v>4168</v>
      </c>
      <c r="C624">
        <v>340</v>
      </c>
      <c r="D624">
        <v>3</v>
      </c>
      <c r="E624">
        <v>0</v>
      </c>
    </row>
    <row r="625" spans="2:5">
      <c r="B625" t="s">
        <v>4168</v>
      </c>
      <c r="C625">
        <v>227</v>
      </c>
      <c r="D625">
        <v>6</v>
      </c>
      <c r="E625">
        <v>2</v>
      </c>
    </row>
    <row r="626" spans="2:5">
      <c r="B626" t="s">
        <v>4168</v>
      </c>
      <c r="C626">
        <v>234</v>
      </c>
      <c r="D626">
        <v>12</v>
      </c>
      <c r="E626">
        <v>2</v>
      </c>
    </row>
    <row r="627" spans="2:5">
      <c r="B627" t="s">
        <v>4168</v>
      </c>
      <c r="C627">
        <v>161</v>
      </c>
      <c r="D627">
        <v>2</v>
      </c>
      <c r="E627">
        <v>0</v>
      </c>
    </row>
    <row r="628" spans="2:5">
      <c r="B628" t="s">
        <v>4168</v>
      </c>
      <c r="C628">
        <v>316</v>
      </c>
      <c r="D628">
        <v>1</v>
      </c>
      <c r="E628">
        <v>0</v>
      </c>
    </row>
    <row r="629" spans="2:5">
      <c r="B629" t="s">
        <v>4168</v>
      </c>
      <c r="C629">
        <v>317</v>
      </c>
      <c r="D629">
        <v>8</v>
      </c>
      <c r="E629">
        <v>0</v>
      </c>
    </row>
    <row r="630" spans="2:5">
      <c r="B630" t="s">
        <v>4168</v>
      </c>
      <c r="C630">
        <v>295</v>
      </c>
      <c r="D630">
        <v>5</v>
      </c>
      <c r="E630">
        <v>0</v>
      </c>
    </row>
    <row r="631" spans="2:5">
      <c r="B631" t="s">
        <v>4168</v>
      </c>
      <c r="C631">
        <v>316</v>
      </c>
      <c r="D631">
        <v>2</v>
      </c>
      <c r="E631">
        <v>0</v>
      </c>
    </row>
    <row r="632" spans="2:5">
      <c r="B632" t="s">
        <v>4168</v>
      </c>
      <c r="C632">
        <v>484</v>
      </c>
      <c r="D632">
        <v>10</v>
      </c>
      <c r="E632">
        <v>0</v>
      </c>
    </row>
    <row r="633" spans="2:5">
      <c r="B633" t="s">
        <v>4168</v>
      </c>
      <c r="C633">
        <v>76</v>
      </c>
      <c r="D633">
        <v>1</v>
      </c>
      <c r="E633">
        <v>0</v>
      </c>
    </row>
    <row r="634" spans="2:5">
      <c r="B634" t="s">
        <v>4168</v>
      </c>
      <c r="C634">
        <v>296</v>
      </c>
      <c r="D634">
        <v>8</v>
      </c>
      <c r="E634">
        <v>0</v>
      </c>
    </row>
    <row r="635" spans="2:5">
      <c r="B635" t="s">
        <v>4168</v>
      </c>
      <c r="C635">
        <v>228</v>
      </c>
      <c r="D635">
        <v>3</v>
      </c>
      <c r="E635">
        <v>0</v>
      </c>
    </row>
    <row r="636" spans="2:5">
      <c r="B636" t="s">
        <v>4168</v>
      </c>
      <c r="C636">
        <v>841</v>
      </c>
      <c r="D636">
        <v>17</v>
      </c>
      <c r="E636">
        <v>0</v>
      </c>
    </row>
    <row r="637" spans="2:5">
      <c r="B637" t="s">
        <v>4168</v>
      </c>
      <c r="C637">
        <v>189</v>
      </c>
      <c r="D637">
        <v>5</v>
      </c>
      <c r="E637">
        <v>0</v>
      </c>
    </row>
    <row r="638" spans="2:5">
      <c r="B638" t="s">
        <v>4168</v>
      </c>
      <c r="C638">
        <v>133</v>
      </c>
      <c r="D638">
        <v>4</v>
      </c>
      <c r="E638">
        <v>2</v>
      </c>
    </row>
    <row r="639" spans="2:5">
      <c r="B639" t="s">
        <v>4168</v>
      </c>
      <c r="C639">
        <v>74</v>
      </c>
      <c r="D639">
        <v>4</v>
      </c>
      <c r="E639">
        <v>0</v>
      </c>
    </row>
    <row r="640" spans="2:5">
      <c r="B640" t="s">
        <v>4168</v>
      </c>
      <c r="C640">
        <v>143</v>
      </c>
      <c r="D640">
        <v>4</v>
      </c>
      <c r="E640">
        <v>0</v>
      </c>
    </row>
    <row r="641" spans="2:5">
      <c r="B641" t="s">
        <v>4168</v>
      </c>
      <c r="C641">
        <v>88</v>
      </c>
      <c r="D641">
        <v>7</v>
      </c>
      <c r="E641">
        <v>0</v>
      </c>
    </row>
    <row r="642" spans="2:5">
      <c r="B642" t="s">
        <v>4168</v>
      </c>
      <c r="C642">
        <v>229</v>
      </c>
      <c r="D642">
        <v>0</v>
      </c>
      <c r="E642">
        <v>0</v>
      </c>
    </row>
    <row r="643" spans="2:5">
      <c r="B643" t="s">
        <v>4168</v>
      </c>
      <c r="C643">
        <v>385</v>
      </c>
      <c r="D643">
        <v>3</v>
      </c>
      <c r="E643">
        <v>0</v>
      </c>
    </row>
    <row r="644" spans="2:5">
      <c r="B644" t="s">
        <v>4168</v>
      </c>
      <c r="C644">
        <v>55</v>
      </c>
      <c r="D644">
        <v>3</v>
      </c>
      <c r="E644">
        <v>0</v>
      </c>
    </row>
    <row r="645" spans="2:5">
      <c r="B645" t="s">
        <v>4168</v>
      </c>
      <c r="C645">
        <v>149</v>
      </c>
      <c r="D645">
        <v>1</v>
      </c>
      <c r="E645">
        <v>0</v>
      </c>
    </row>
    <row r="646" spans="2:5">
      <c r="B646" t="s">
        <v>4168</v>
      </c>
      <c r="C646">
        <v>393</v>
      </c>
      <c r="D646">
        <v>3</v>
      </c>
      <c r="E646">
        <v>0</v>
      </c>
    </row>
    <row r="647" spans="2:5">
      <c r="B647" t="s">
        <v>4168</v>
      </c>
      <c r="C647">
        <v>255</v>
      </c>
      <c r="D647">
        <v>6</v>
      </c>
      <c r="E647">
        <v>0</v>
      </c>
    </row>
    <row r="648" spans="2:5">
      <c r="B648" t="s">
        <v>4168</v>
      </c>
      <c r="C648">
        <v>248</v>
      </c>
      <c r="D648">
        <v>8</v>
      </c>
      <c r="E648">
        <v>0</v>
      </c>
    </row>
    <row r="649" spans="2:5">
      <c r="B649" t="s">
        <v>4168</v>
      </c>
      <c r="C649">
        <v>113</v>
      </c>
      <c r="D649">
        <v>4</v>
      </c>
      <c r="E649">
        <v>2</v>
      </c>
    </row>
    <row r="650" spans="2:5">
      <c r="B650" t="s">
        <v>4168</v>
      </c>
      <c r="C650">
        <v>269</v>
      </c>
      <c r="D650">
        <v>5</v>
      </c>
      <c r="E650">
        <v>0</v>
      </c>
    </row>
    <row r="651" spans="2:5">
      <c r="B651" t="s">
        <v>4168</v>
      </c>
      <c r="C651">
        <v>333</v>
      </c>
      <c r="D651">
        <v>3</v>
      </c>
      <c r="E651">
        <v>0</v>
      </c>
    </row>
    <row r="652" spans="2:5">
      <c r="B652" t="s">
        <v>4168</v>
      </c>
      <c r="C652">
        <v>105</v>
      </c>
      <c r="D652">
        <v>1</v>
      </c>
      <c r="E652">
        <v>0</v>
      </c>
    </row>
    <row r="653" spans="2:5">
      <c r="B653" t="s">
        <v>4168</v>
      </c>
      <c r="C653">
        <v>262</v>
      </c>
      <c r="D653">
        <v>5</v>
      </c>
      <c r="E653">
        <v>0</v>
      </c>
    </row>
    <row r="654" spans="2:5">
      <c r="B654" t="s">
        <v>4168</v>
      </c>
      <c r="C654">
        <v>436</v>
      </c>
      <c r="D654">
        <v>4</v>
      </c>
      <c r="E654">
        <v>0</v>
      </c>
    </row>
    <row r="655" spans="2:5">
      <c r="B655" t="s">
        <v>4168</v>
      </c>
      <c r="C655">
        <v>246</v>
      </c>
      <c r="D655">
        <v>23</v>
      </c>
      <c r="E655">
        <v>4</v>
      </c>
    </row>
    <row r="656" spans="2:5">
      <c r="B656" t="s">
        <v>4168</v>
      </c>
      <c r="C656">
        <v>132</v>
      </c>
      <c r="D656">
        <v>3</v>
      </c>
      <c r="E656">
        <v>0</v>
      </c>
    </row>
    <row r="657" spans="2:5">
      <c r="B657" t="s">
        <v>4168</v>
      </c>
      <c r="C657">
        <v>473</v>
      </c>
      <c r="D657">
        <v>5</v>
      </c>
      <c r="E657">
        <v>0</v>
      </c>
    </row>
    <row r="658" spans="2:5">
      <c r="B658" t="s">
        <v>4168</v>
      </c>
      <c r="C658">
        <v>287</v>
      </c>
      <c r="D658">
        <v>3</v>
      </c>
      <c r="E658">
        <v>0</v>
      </c>
    </row>
    <row r="659" spans="2:5">
      <c r="B659" t="s">
        <v>4168</v>
      </c>
      <c r="C659">
        <v>502</v>
      </c>
      <c r="D659">
        <v>4</v>
      </c>
      <c r="E659">
        <v>2</v>
      </c>
    </row>
    <row r="660" spans="2:5">
      <c r="B660" t="s">
        <v>4168</v>
      </c>
      <c r="C660">
        <v>181</v>
      </c>
      <c r="D660">
        <v>10</v>
      </c>
      <c r="E660">
        <v>0</v>
      </c>
    </row>
    <row r="661" spans="2:5">
      <c r="B661" t="s">
        <v>4168</v>
      </c>
      <c r="C661">
        <v>170</v>
      </c>
      <c r="D661">
        <v>2</v>
      </c>
      <c r="E661">
        <v>0</v>
      </c>
    </row>
    <row r="662" spans="2:5">
      <c r="B662" t="s">
        <v>4168</v>
      </c>
      <c r="C662">
        <v>244</v>
      </c>
      <c r="D662">
        <v>2</v>
      </c>
      <c r="E662">
        <v>0</v>
      </c>
    </row>
    <row r="663" spans="2:5">
      <c r="B663" t="s">
        <v>4168</v>
      </c>
      <c r="C663">
        <v>127</v>
      </c>
      <c r="D663">
        <v>2</v>
      </c>
      <c r="E663">
        <v>0</v>
      </c>
    </row>
    <row r="664" spans="2:5">
      <c r="B664" t="s">
        <v>4168</v>
      </c>
      <c r="C664">
        <v>415</v>
      </c>
      <c r="D664">
        <v>7</v>
      </c>
      <c r="E664">
        <v>0</v>
      </c>
    </row>
    <row r="665" spans="2:5">
      <c r="B665" t="s">
        <v>4168</v>
      </c>
      <c r="C665">
        <v>150</v>
      </c>
      <c r="D665">
        <v>13</v>
      </c>
      <c r="E665">
        <v>4</v>
      </c>
    </row>
    <row r="666" spans="2:5">
      <c r="B666" t="s">
        <v>4168</v>
      </c>
      <c r="C666">
        <v>356</v>
      </c>
      <c r="D666">
        <v>2</v>
      </c>
      <c r="E666">
        <v>0</v>
      </c>
    </row>
    <row r="667" spans="2:5">
      <c r="B667" t="s">
        <v>4168</v>
      </c>
      <c r="C667">
        <v>582</v>
      </c>
      <c r="D667">
        <v>11</v>
      </c>
      <c r="E667">
        <v>2</v>
      </c>
    </row>
    <row r="668" spans="2:5">
      <c r="B668" t="s">
        <v>4168</v>
      </c>
      <c r="C668">
        <v>427</v>
      </c>
      <c r="D668">
        <v>0</v>
      </c>
      <c r="E668">
        <v>0</v>
      </c>
    </row>
    <row r="669" spans="2:5">
      <c r="B669" t="s">
        <v>4168</v>
      </c>
      <c r="C669">
        <v>321</v>
      </c>
      <c r="D669">
        <v>0</v>
      </c>
      <c r="E669">
        <v>0</v>
      </c>
    </row>
    <row r="670" spans="2:5">
      <c r="B670" t="s">
        <v>4168</v>
      </c>
      <c r="C670">
        <v>429</v>
      </c>
      <c r="D670">
        <v>2</v>
      </c>
      <c r="E670">
        <v>0</v>
      </c>
    </row>
    <row r="671" spans="2:5">
      <c r="B671" t="s">
        <v>4168</v>
      </c>
      <c r="C671">
        <v>212</v>
      </c>
      <c r="D671">
        <v>5</v>
      </c>
      <c r="E671">
        <v>0</v>
      </c>
    </row>
    <row r="672" spans="2:5">
      <c r="B672" t="s">
        <v>4168</v>
      </c>
      <c r="C672">
        <v>285</v>
      </c>
      <c r="D672">
        <v>5</v>
      </c>
      <c r="E672">
        <v>0</v>
      </c>
    </row>
    <row r="673" spans="2:5">
      <c r="B673" t="s">
        <v>4168</v>
      </c>
      <c r="C673">
        <v>124</v>
      </c>
      <c r="D673">
        <v>0</v>
      </c>
      <c r="E673">
        <v>0</v>
      </c>
    </row>
    <row r="674" spans="2:5">
      <c r="B674" t="s">
        <v>4168</v>
      </c>
      <c r="C674">
        <v>173</v>
      </c>
      <c r="D674">
        <v>10</v>
      </c>
      <c r="E674">
        <v>0</v>
      </c>
    </row>
    <row r="675" spans="2:5">
      <c r="B675" t="s">
        <v>4168</v>
      </c>
      <c r="C675">
        <v>276</v>
      </c>
      <c r="D675">
        <v>2</v>
      </c>
      <c r="E675">
        <v>0</v>
      </c>
    </row>
    <row r="676" spans="2:5">
      <c r="B676" t="s">
        <v>4168</v>
      </c>
      <c r="C676">
        <v>166</v>
      </c>
      <c r="D676">
        <v>3</v>
      </c>
      <c r="E676">
        <v>0</v>
      </c>
    </row>
    <row r="677" spans="2:5">
      <c r="B677" t="s">
        <v>4168</v>
      </c>
      <c r="C677">
        <v>433</v>
      </c>
      <c r="D677">
        <v>9</v>
      </c>
      <c r="E677">
        <v>0</v>
      </c>
    </row>
    <row r="678" spans="2:5">
      <c r="B678" t="s">
        <v>4168</v>
      </c>
      <c r="C678">
        <v>74</v>
      </c>
      <c r="D678">
        <v>0</v>
      </c>
      <c r="E678">
        <v>0</v>
      </c>
    </row>
    <row r="679" spans="2:5">
      <c r="B679" t="s">
        <v>4168</v>
      </c>
      <c r="C679">
        <v>323</v>
      </c>
      <c r="D679">
        <v>7</v>
      </c>
      <c r="E679">
        <v>2</v>
      </c>
    </row>
    <row r="680" spans="2:5">
      <c r="B680" t="s">
        <v>4168</v>
      </c>
      <c r="C680">
        <v>204</v>
      </c>
      <c r="D680">
        <v>4</v>
      </c>
      <c r="E680">
        <v>0</v>
      </c>
    </row>
    <row r="681" spans="2:5">
      <c r="B681" t="s">
        <v>4168</v>
      </c>
      <c r="C681">
        <v>204</v>
      </c>
      <c r="D681">
        <v>4</v>
      </c>
      <c r="E681">
        <v>0</v>
      </c>
    </row>
    <row r="682" spans="2:5">
      <c r="B682" t="s">
        <v>4168</v>
      </c>
      <c r="C682">
        <v>256</v>
      </c>
      <c r="D682">
        <v>15</v>
      </c>
      <c r="E682">
        <v>4</v>
      </c>
    </row>
    <row r="683" spans="2:5">
      <c r="B683" t="s">
        <v>4168</v>
      </c>
      <c r="C683">
        <v>271</v>
      </c>
      <c r="D683">
        <v>4</v>
      </c>
      <c r="E683">
        <v>0</v>
      </c>
    </row>
    <row r="684" spans="2:5">
      <c r="B684" t="s">
        <v>4168</v>
      </c>
      <c r="C684">
        <v>276</v>
      </c>
      <c r="D684">
        <v>6</v>
      </c>
      <c r="E684">
        <v>0</v>
      </c>
    </row>
    <row r="685" spans="2:5">
      <c r="B685" t="s">
        <v>4168</v>
      </c>
      <c r="C685">
        <v>100</v>
      </c>
      <c r="D685">
        <v>0</v>
      </c>
      <c r="E685">
        <v>0</v>
      </c>
    </row>
    <row r="686" spans="2:5">
      <c r="B686" t="s">
        <v>4168</v>
      </c>
      <c r="C686">
        <v>124</v>
      </c>
      <c r="D686">
        <v>4</v>
      </c>
      <c r="E686">
        <v>0</v>
      </c>
    </row>
    <row r="687" spans="2:5">
      <c r="B687" t="s">
        <v>4168</v>
      </c>
      <c r="C687">
        <v>204</v>
      </c>
      <c r="D687">
        <v>4</v>
      </c>
      <c r="E687">
        <v>0</v>
      </c>
    </row>
    <row r="688" spans="2:5">
      <c r="B688" t="s">
        <v>4168</v>
      </c>
      <c r="C688">
        <v>649</v>
      </c>
      <c r="D688">
        <v>7</v>
      </c>
      <c r="E688">
        <v>0</v>
      </c>
    </row>
    <row r="689" spans="2:5">
      <c r="B689" t="s">
        <v>4168</v>
      </c>
      <c r="C689">
        <v>321</v>
      </c>
      <c r="D689">
        <v>6</v>
      </c>
      <c r="E689">
        <v>0</v>
      </c>
    </row>
    <row r="690" spans="2:5">
      <c r="B690" t="s">
        <v>4168</v>
      </c>
      <c r="C690">
        <v>225</v>
      </c>
      <c r="D690">
        <v>7</v>
      </c>
      <c r="E690">
        <v>3</v>
      </c>
    </row>
    <row r="691" spans="2:5">
      <c r="B691" t="s">
        <v>4168</v>
      </c>
      <c r="C691">
        <v>210</v>
      </c>
      <c r="D691">
        <v>2</v>
      </c>
      <c r="E691">
        <v>0</v>
      </c>
    </row>
    <row r="692" spans="2:5">
      <c r="B692" t="s">
        <v>4168</v>
      </c>
      <c r="C692">
        <v>311</v>
      </c>
      <c r="D692">
        <v>6</v>
      </c>
      <c r="E692">
        <v>2</v>
      </c>
    </row>
    <row r="693" spans="2:5">
      <c r="B693" t="s">
        <v>4168</v>
      </c>
      <c r="C693">
        <v>110</v>
      </c>
      <c r="D693">
        <v>4</v>
      </c>
      <c r="E693">
        <v>0</v>
      </c>
    </row>
    <row r="694" spans="2:5">
      <c r="B694" t="s">
        <v>4168</v>
      </c>
      <c r="C694">
        <v>102</v>
      </c>
      <c r="D694">
        <v>1</v>
      </c>
      <c r="E694">
        <v>0</v>
      </c>
    </row>
    <row r="695" spans="2:5">
      <c r="B695" t="s">
        <v>4168</v>
      </c>
      <c r="C695">
        <v>62</v>
      </c>
      <c r="D695">
        <v>2</v>
      </c>
      <c r="E695">
        <v>0</v>
      </c>
    </row>
    <row r="696" spans="2:5">
      <c r="B696" t="s">
        <v>4168</v>
      </c>
      <c r="C696">
        <v>338</v>
      </c>
      <c r="D696">
        <v>6</v>
      </c>
      <c r="E696">
        <v>2</v>
      </c>
    </row>
    <row r="697" spans="2:5">
      <c r="B697" t="s">
        <v>4168</v>
      </c>
      <c r="C697">
        <v>468</v>
      </c>
      <c r="D697">
        <v>7</v>
      </c>
      <c r="E697">
        <v>0</v>
      </c>
    </row>
    <row r="698" spans="2:5">
      <c r="B698" t="s">
        <v>4168</v>
      </c>
      <c r="C698">
        <v>43</v>
      </c>
      <c r="D698">
        <v>7</v>
      </c>
      <c r="E698">
        <v>0</v>
      </c>
    </row>
    <row r="699" spans="2:5">
      <c r="B699" t="s">
        <v>4168</v>
      </c>
      <c r="C699">
        <v>2334</v>
      </c>
      <c r="D699">
        <v>90</v>
      </c>
      <c r="E699">
        <v>17</v>
      </c>
    </row>
    <row r="700" spans="2:5">
      <c r="B700" t="s">
        <v>4168</v>
      </c>
      <c r="C700">
        <v>469</v>
      </c>
      <c r="D700">
        <v>12</v>
      </c>
      <c r="E700">
        <v>0</v>
      </c>
    </row>
    <row r="701" spans="2:5">
      <c r="B701" t="s">
        <v>4168</v>
      </c>
      <c r="C701">
        <v>121</v>
      </c>
      <c r="D701">
        <v>3</v>
      </c>
      <c r="E701">
        <v>0</v>
      </c>
    </row>
    <row r="702" spans="2:5">
      <c r="B702" t="s">
        <v>4168</v>
      </c>
      <c r="C702">
        <v>249</v>
      </c>
      <c r="D702">
        <v>7</v>
      </c>
      <c r="E702">
        <v>0</v>
      </c>
    </row>
    <row r="703" spans="2:5">
      <c r="B703" t="s">
        <v>4168</v>
      </c>
      <c r="C703">
        <v>224</v>
      </c>
      <c r="D703">
        <v>6</v>
      </c>
      <c r="E703">
        <v>0</v>
      </c>
    </row>
    <row r="704" spans="2:5">
      <c r="B704" t="s">
        <v>4168</v>
      </c>
      <c r="C704">
        <v>270</v>
      </c>
      <c r="D704">
        <v>12</v>
      </c>
      <c r="E704">
        <v>2</v>
      </c>
    </row>
    <row r="705" spans="2:5">
      <c r="B705" t="s">
        <v>4168</v>
      </c>
      <c r="C705">
        <v>132</v>
      </c>
      <c r="D705">
        <v>2</v>
      </c>
      <c r="E705">
        <v>0</v>
      </c>
    </row>
    <row r="706" spans="2:5">
      <c r="B706" t="s">
        <v>4168</v>
      </c>
      <c r="C706">
        <v>115</v>
      </c>
      <c r="D706">
        <v>7</v>
      </c>
      <c r="E706">
        <v>3</v>
      </c>
    </row>
    <row r="707" spans="2:5">
      <c r="B707" t="s">
        <v>4168</v>
      </c>
      <c r="C707">
        <v>622</v>
      </c>
      <c r="D707">
        <v>37</v>
      </c>
      <c r="E707">
        <v>8</v>
      </c>
    </row>
    <row r="708" spans="2:5">
      <c r="B708" t="s">
        <v>4168</v>
      </c>
      <c r="C708">
        <v>257</v>
      </c>
      <c r="D708">
        <v>7</v>
      </c>
      <c r="E708">
        <v>0</v>
      </c>
    </row>
    <row r="709" spans="2:5">
      <c r="B709" t="s">
        <v>4168</v>
      </c>
      <c r="C709">
        <v>325</v>
      </c>
      <c r="D709">
        <v>11</v>
      </c>
      <c r="E709">
        <v>0</v>
      </c>
    </row>
    <row r="710" spans="2:5">
      <c r="B710" t="s">
        <v>4168</v>
      </c>
      <c r="C710">
        <v>229</v>
      </c>
      <c r="D710">
        <v>5</v>
      </c>
      <c r="E710">
        <v>0</v>
      </c>
    </row>
    <row r="711" spans="2:5">
      <c r="B711" t="s">
        <v>4168</v>
      </c>
      <c r="C711">
        <v>290</v>
      </c>
      <c r="D711">
        <v>12</v>
      </c>
      <c r="E711">
        <v>2</v>
      </c>
    </row>
    <row r="712" spans="2:5">
      <c r="B712" t="s">
        <v>4168</v>
      </c>
      <c r="C712">
        <v>278</v>
      </c>
      <c r="D712">
        <v>7</v>
      </c>
      <c r="E712">
        <v>2</v>
      </c>
    </row>
    <row r="713" spans="2:5">
      <c r="B713" t="s">
        <v>4168</v>
      </c>
      <c r="C713">
        <v>289</v>
      </c>
      <c r="D713">
        <v>4</v>
      </c>
      <c r="E713">
        <v>0</v>
      </c>
    </row>
    <row r="714" spans="2:5">
      <c r="B714" t="s">
        <v>4168</v>
      </c>
      <c r="C714">
        <v>325</v>
      </c>
      <c r="D714">
        <v>12</v>
      </c>
      <c r="E714">
        <v>0</v>
      </c>
    </row>
    <row r="715" spans="2:5">
      <c r="B715" t="s">
        <v>4168</v>
      </c>
      <c r="C715">
        <v>191</v>
      </c>
      <c r="D715">
        <v>13</v>
      </c>
      <c r="E715">
        <v>0</v>
      </c>
    </row>
    <row r="716" spans="2:5">
      <c r="B716" t="s">
        <v>4168</v>
      </c>
      <c r="C716">
        <v>143</v>
      </c>
      <c r="D716">
        <v>5</v>
      </c>
      <c r="E716">
        <v>2</v>
      </c>
    </row>
    <row r="717" spans="2:5">
      <c r="B717" t="s">
        <v>4168</v>
      </c>
      <c r="C717">
        <v>159</v>
      </c>
      <c r="D717">
        <v>2</v>
      </c>
      <c r="E717">
        <v>0</v>
      </c>
    </row>
    <row r="718" spans="2:5">
      <c r="B718" t="s">
        <v>4168</v>
      </c>
      <c r="C718">
        <v>56</v>
      </c>
      <c r="D718">
        <v>1</v>
      </c>
      <c r="E718">
        <v>0</v>
      </c>
    </row>
    <row r="719" spans="2:5">
      <c r="B719" t="s">
        <v>4168</v>
      </c>
      <c r="C719">
        <v>611</v>
      </c>
      <c r="D719">
        <v>6</v>
      </c>
      <c r="E719">
        <v>0</v>
      </c>
    </row>
    <row r="720" spans="2:5">
      <c r="B720" t="s">
        <v>4168</v>
      </c>
      <c r="C720">
        <v>235</v>
      </c>
      <c r="D720">
        <v>0</v>
      </c>
      <c r="E720">
        <v>0</v>
      </c>
    </row>
    <row r="721" spans="2:5">
      <c r="B721" t="s">
        <v>4168</v>
      </c>
      <c r="C721">
        <v>430</v>
      </c>
      <c r="D721">
        <v>6</v>
      </c>
      <c r="E721">
        <v>0</v>
      </c>
    </row>
    <row r="722" spans="2:5">
      <c r="B722" t="s">
        <v>4168</v>
      </c>
      <c r="C722">
        <v>454</v>
      </c>
      <c r="D722">
        <v>3</v>
      </c>
      <c r="E722">
        <v>0</v>
      </c>
    </row>
    <row r="723" spans="2:5">
      <c r="B723" t="s">
        <v>4168</v>
      </c>
      <c r="C723">
        <v>149</v>
      </c>
      <c r="D723">
        <v>1</v>
      </c>
      <c r="E723">
        <v>0</v>
      </c>
    </row>
    <row r="724" spans="2:5">
      <c r="B724" t="s">
        <v>4168</v>
      </c>
      <c r="C724">
        <v>659</v>
      </c>
      <c r="D724">
        <v>7</v>
      </c>
      <c r="E724">
        <v>0</v>
      </c>
    </row>
    <row r="725" spans="2:5">
      <c r="B725" t="s">
        <v>4168</v>
      </c>
      <c r="C725">
        <v>309</v>
      </c>
      <c r="D725">
        <v>24</v>
      </c>
      <c r="E725">
        <v>4</v>
      </c>
    </row>
    <row r="726" spans="2:5">
      <c r="B726" t="s">
        <v>4168</v>
      </c>
      <c r="C726">
        <v>79</v>
      </c>
      <c r="D726">
        <v>0</v>
      </c>
      <c r="E726">
        <v>0</v>
      </c>
    </row>
    <row r="727" spans="2:5">
      <c r="B727" t="s">
        <v>4168</v>
      </c>
      <c r="C727">
        <v>172</v>
      </c>
      <c r="D727">
        <v>1</v>
      </c>
      <c r="E727">
        <v>0</v>
      </c>
    </row>
    <row r="728" spans="2:5">
      <c r="B728" t="s">
        <v>4168</v>
      </c>
      <c r="C728">
        <v>282</v>
      </c>
      <c r="D728">
        <v>7</v>
      </c>
      <c r="E728">
        <v>0</v>
      </c>
    </row>
    <row r="729" spans="2:5">
      <c r="B729" t="s">
        <v>4168</v>
      </c>
      <c r="C729">
        <v>283</v>
      </c>
      <c r="D729">
        <v>3</v>
      </c>
      <c r="E729">
        <v>0</v>
      </c>
    </row>
    <row r="730" spans="2:5">
      <c r="B730" t="s">
        <v>4168</v>
      </c>
      <c r="C730">
        <v>239</v>
      </c>
      <c r="D730">
        <v>7</v>
      </c>
      <c r="E730">
        <v>2</v>
      </c>
    </row>
    <row r="731" spans="2:5">
      <c r="B731" t="s">
        <v>4168</v>
      </c>
      <c r="C731">
        <v>628</v>
      </c>
      <c r="D731">
        <v>4</v>
      </c>
      <c r="E731">
        <v>0</v>
      </c>
    </row>
    <row r="732" spans="2:5">
      <c r="B732" t="s">
        <v>4168</v>
      </c>
      <c r="C732">
        <v>459</v>
      </c>
      <c r="D732">
        <v>7</v>
      </c>
      <c r="E732">
        <v>0</v>
      </c>
    </row>
    <row r="733" spans="2:5">
      <c r="B733" t="s">
        <v>4168</v>
      </c>
      <c r="C733">
        <v>261</v>
      </c>
      <c r="D733">
        <v>4</v>
      </c>
      <c r="E733">
        <v>2</v>
      </c>
    </row>
    <row r="734" spans="2:5">
      <c r="B734" t="s">
        <v>4168</v>
      </c>
      <c r="C734">
        <v>116</v>
      </c>
      <c r="D734">
        <v>2</v>
      </c>
      <c r="E734">
        <v>0</v>
      </c>
    </row>
    <row r="735" spans="2:5">
      <c r="B735" t="s">
        <v>4184</v>
      </c>
      <c r="C735">
        <v>98</v>
      </c>
      <c r="D735">
        <v>7</v>
      </c>
      <c r="E735">
        <v>0</v>
      </c>
    </row>
    <row r="736" spans="2:5">
      <c r="B736" t="s">
        <v>4184</v>
      </c>
      <c r="C736">
        <v>87</v>
      </c>
      <c r="D736">
        <v>11</v>
      </c>
      <c r="E736">
        <v>2</v>
      </c>
    </row>
    <row r="737" spans="2:5">
      <c r="B737" t="s">
        <v>4184</v>
      </c>
      <c r="C737">
        <v>61</v>
      </c>
      <c r="D737">
        <v>5</v>
      </c>
      <c r="E737">
        <v>2</v>
      </c>
    </row>
    <row r="738" spans="2:5">
      <c r="B738" t="s">
        <v>4184</v>
      </c>
      <c r="C738">
        <v>109</v>
      </c>
      <c r="D738">
        <v>11</v>
      </c>
      <c r="E738">
        <v>6</v>
      </c>
    </row>
    <row r="739" spans="2:5">
      <c r="B739" t="s">
        <v>4184</v>
      </c>
      <c r="C739">
        <v>61</v>
      </c>
      <c r="D739">
        <v>4</v>
      </c>
      <c r="E739">
        <v>0</v>
      </c>
    </row>
    <row r="740" spans="2:5">
      <c r="B740" t="s">
        <v>4184</v>
      </c>
      <c r="C740">
        <v>48</v>
      </c>
      <c r="D740">
        <v>3</v>
      </c>
      <c r="E740">
        <v>0</v>
      </c>
    </row>
    <row r="741" spans="2:5">
      <c r="B741" t="s">
        <v>4184</v>
      </c>
      <c r="C741">
        <v>69</v>
      </c>
      <c r="D741">
        <v>4</v>
      </c>
      <c r="E741">
        <v>0</v>
      </c>
    </row>
    <row r="742" spans="2:5">
      <c r="B742" t="s">
        <v>4184</v>
      </c>
      <c r="C742">
        <v>59</v>
      </c>
      <c r="D742">
        <v>7</v>
      </c>
      <c r="E742">
        <v>2</v>
      </c>
    </row>
    <row r="743" spans="2:5">
      <c r="B743" t="s">
        <v>4184</v>
      </c>
      <c r="C743">
        <v>190</v>
      </c>
      <c r="D743">
        <v>17</v>
      </c>
      <c r="E743">
        <v>2</v>
      </c>
    </row>
    <row r="744" spans="2:5">
      <c r="B744" t="s">
        <v>4184</v>
      </c>
      <c r="C744">
        <v>77</v>
      </c>
      <c r="D744">
        <v>5</v>
      </c>
      <c r="E744">
        <v>0</v>
      </c>
    </row>
    <row r="745" spans="2:5">
      <c r="B745" t="s">
        <v>4184</v>
      </c>
      <c r="C745">
        <v>76</v>
      </c>
      <c r="D745">
        <v>8</v>
      </c>
      <c r="E745">
        <v>0</v>
      </c>
    </row>
    <row r="746" spans="2:5">
      <c r="B746" t="s">
        <v>4184</v>
      </c>
      <c r="C746">
        <v>441</v>
      </c>
      <c r="D746">
        <v>32</v>
      </c>
      <c r="E746">
        <v>3</v>
      </c>
    </row>
    <row r="747" spans="2:5">
      <c r="B747" t="s">
        <v>4184</v>
      </c>
      <c r="C747">
        <v>290</v>
      </c>
      <c r="D747">
        <v>26</v>
      </c>
      <c r="E747">
        <v>2</v>
      </c>
    </row>
    <row r="748" spans="2:5">
      <c r="B748" t="s">
        <v>4184</v>
      </c>
      <c r="C748">
        <v>136</v>
      </c>
      <c r="D748">
        <v>10</v>
      </c>
      <c r="E748">
        <v>0</v>
      </c>
    </row>
    <row r="749" spans="2:5">
      <c r="B749" t="s">
        <v>4184</v>
      </c>
      <c r="C749">
        <v>225</v>
      </c>
      <c r="D749">
        <v>11</v>
      </c>
      <c r="E749">
        <v>2</v>
      </c>
    </row>
    <row r="750" spans="2:5">
      <c r="B750" t="s">
        <v>4184</v>
      </c>
      <c r="C750">
        <v>100</v>
      </c>
      <c r="D750">
        <v>5</v>
      </c>
      <c r="E750">
        <v>2</v>
      </c>
    </row>
    <row r="751" spans="2:5">
      <c r="B751" t="s">
        <v>4184</v>
      </c>
      <c r="C751">
        <v>157</v>
      </c>
      <c r="D751">
        <v>8</v>
      </c>
      <c r="E751">
        <v>0</v>
      </c>
    </row>
    <row r="752" spans="2:5">
      <c r="B752" t="s">
        <v>4184</v>
      </c>
      <c r="C752">
        <v>104</v>
      </c>
      <c r="D752">
        <v>5</v>
      </c>
      <c r="E752">
        <v>0</v>
      </c>
    </row>
    <row r="753" spans="2:5">
      <c r="B753" t="s">
        <v>4184</v>
      </c>
      <c r="C753">
        <v>164</v>
      </c>
      <c r="D753">
        <v>13</v>
      </c>
      <c r="E753">
        <v>2</v>
      </c>
    </row>
    <row r="754" spans="2:5">
      <c r="B754" t="s">
        <v>4184</v>
      </c>
      <c r="C754">
        <v>173</v>
      </c>
      <c r="D754">
        <v>9</v>
      </c>
      <c r="E754">
        <v>0</v>
      </c>
    </row>
    <row r="755" spans="2:5">
      <c r="B755" t="s">
        <v>4184</v>
      </c>
      <c r="C755">
        <v>62</v>
      </c>
      <c r="D755">
        <v>2</v>
      </c>
      <c r="E755">
        <v>0</v>
      </c>
    </row>
    <row r="756" spans="2:5">
      <c r="B756" t="s">
        <v>4184</v>
      </c>
      <c r="C756">
        <v>124</v>
      </c>
      <c r="D756">
        <v>6</v>
      </c>
      <c r="E756">
        <v>0</v>
      </c>
    </row>
    <row r="757" spans="2:5">
      <c r="B757" t="s">
        <v>4184</v>
      </c>
      <c r="C757">
        <v>154</v>
      </c>
      <c r="D757">
        <v>9</v>
      </c>
      <c r="E757">
        <v>2</v>
      </c>
    </row>
    <row r="758" spans="2:5">
      <c r="B758" t="s">
        <v>4184</v>
      </c>
      <c r="C758">
        <v>72</v>
      </c>
      <c r="D758">
        <v>2</v>
      </c>
      <c r="E758">
        <v>0</v>
      </c>
    </row>
    <row r="759" spans="2:5">
      <c r="B759" t="s">
        <v>4184</v>
      </c>
      <c r="C759">
        <v>67</v>
      </c>
      <c r="D759">
        <v>4</v>
      </c>
      <c r="E759">
        <v>0</v>
      </c>
    </row>
    <row r="760" spans="2:5">
      <c r="B760" t="s">
        <v>4184</v>
      </c>
      <c r="C760">
        <v>95</v>
      </c>
      <c r="D760">
        <v>4</v>
      </c>
      <c r="E760">
        <v>0</v>
      </c>
    </row>
    <row r="761" spans="2:5">
      <c r="B761" t="s">
        <v>4184</v>
      </c>
      <c r="C761">
        <v>92</v>
      </c>
      <c r="D761">
        <v>5</v>
      </c>
      <c r="E761">
        <v>0</v>
      </c>
    </row>
    <row r="762" spans="2:5">
      <c r="B762" t="s">
        <v>4184</v>
      </c>
      <c r="C762">
        <v>44</v>
      </c>
      <c r="D762">
        <v>1</v>
      </c>
      <c r="E762">
        <v>0</v>
      </c>
    </row>
    <row r="763" spans="2:5">
      <c r="B763" t="s">
        <v>4184</v>
      </c>
      <c r="C763">
        <v>171</v>
      </c>
      <c r="D763">
        <v>8</v>
      </c>
      <c r="E763">
        <v>0</v>
      </c>
    </row>
    <row r="764" spans="2:5">
      <c r="B764" t="s">
        <v>4184</v>
      </c>
      <c r="C764">
        <v>96</v>
      </c>
      <c r="D764">
        <v>4</v>
      </c>
      <c r="E764">
        <v>0</v>
      </c>
    </row>
    <row r="765" spans="2:5">
      <c r="B765" t="s">
        <v>4184</v>
      </c>
      <c r="C765">
        <v>215</v>
      </c>
      <c r="D765">
        <v>8</v>
      </c>
      <c r="E765">
        <v>0</v>
      </c>
    </row>
    <row r="766" spans="2:5">
      <c r="B766" t="s">
        <v>4184</v>
      </c>
      <c r="C766">
        <v>381</v>
      </c>
      <c r="D766">
        <v>17</v>
      </c>
      <c r="E766">
        <v>2</v>
      </c>
    </row>
    <row r="767" spans="2:5">
      <c r="B767" t="s">
        <v>4184</v>
      </c>
      <c r="C767">
        <v>187</v>
      </c>
      <c r="D767">
        <v>6</v>
      </c>
      <c r="E767">
        <v>0</v>
      </c>
    </row>
    <row r="768" spans="2:5">
      <c r="B768" t="s">
        <v>4184</v>
      </c>
      <c r="C768">
        <v>162</v>
      </c>
      <c r="D768">
        <v>8</v>
      </c>
      <c r="E768">
        <v>0</v>
      </c>
    </row>
    <row r="769" spans="2:5">
      <c r="B769" t="s">
        <v>4184</v>
      </c>
      <c r="C769">
        <v>56</v>
      </c>
      <c r="D769">
        <v>3</v>
      </c>
      <c r="E769">
        <v>0</v>
      </c>
    </row>
    <row r="770" spans="2:5">
      <c r="B770" t="s">
        <v>4184</v>
      </c>
      <c r="C770">
        <v>233</v>
      </c>
      <c r="D770">
        <v>10</v>
      </c>
      <c r="E770">
        <v>0</v>
      </c>
    </row>
    <row r="771" spans="2:5">
      <c r="B771" t="s">
        <v>4184</v>
      </c>
      <c r="C771">
        <v>81</v>
      </c>
      <c r="D771">
        <v>2</v>
      </c>
      <c r="E771">
        <v>0</v>
      </c>
    </row>
    <row r="772" spans="2:5">
      <c r="B772" t="s">
        <v>4184</v>
      </c>
      <c r="C772">
        <v>392</v>
      </c>
      <c r="D772">
        <v>17</v>
      </c>
      <c r="E772">
        <v>2</v>
      </c>
    </row>
    <row r="773" spans="2:5">
      <c r="B773" t="s">
        <v>4184</v>
      </c>
      <c r="C773">
        <v>301</v>
      </c>
      <c r="D773">
        <v>12</v>
      </c>
      <c r="E773">
        <v>0</v>
      </c>
    </row>
    <row r="774" spans="2:5">
      <c r="B774" t="s">
        <v>4184</v>
      </c>
      <c r="C774">
        <v>166</v>
      </c>
      <c r="D774">
        <v>6</v>
      </c>
      <c r="E774">
        <v>2</v>
      </c>
    </row>
    <row r="775" spans="2:5">
      <c r="B775" t="s">
        <v>4184</v>
      </c>
      <c r="C775">
        <v>137</v>
      </c>
      <c r="D775">
        <v>6</v>
      </c>
      <c r="E775">
        <v>2</v>
      </c>
    </row>
    <row r="776" spans="2:5">
      <c r="B776" t="s">
        <v>4184</v>
      </c>
      <c r="C776">
        <v>153</v>
      </c>
      <c r="D776">
        <v>7</v>
      </c>
      <c r="E776">
        <v>0</v>
      </c>
    </row>
    <row r="777" spans="2:5">
      <c r="B777" t="s">
        <v>4184</v>
      </c>
      <c r="C777">
        <v>286</v>
      </c>
      <c r="D777">
        <v>16</v>
      </c>
      <c r="E777">
        <v>6</v>
      </c>
    </row>
    <row r="778" spans="2:5">
      <c r="B778" t="s">
        <v>4184</v>
      </c>
      <c r="C778">
        <v>315</v>
      </c>
      <c r="D778">
        <v>13</v>
      </c>
      <c r="E778">
        <v>2</v>
      </c>
    </row>
    <row r="779" spans="2:5">
      <c r="B779" t="s">
        <v>4184</v>
      </c>
      <c r="C779">
        <v>127</v>
      </c>
      <c r="D779">
        <v>5</v>
      </c>
      <c r="E779">
        <v>0</v>
      </c>
    </row>
    <row r="780" spans="2:5">
      <c r="B780" t="s">
        <v>4184</v>
      </c>
      <c r="C780">
        <v>64</v>
      </c>
      <c r="D780">
        <v>3</v>
      </c>
      <c r="E780">
        <v>0</v>
      </c>
    </row>
    <row r="781" spans="2:5">
      <c r="B781" t="s">
        <v>4184</v>
      </c>
      <c r="C781">
        <v>350</v>
      </c>
      <c r="D781">
        <v>20</v>
      </c>
      <c r="E781">
        <v>2</v>
      </c>
    </row>
    <row r="782" spans="2:5">
      <c r="B782" t="s">
        <v>4184</v>
      </c>
      <c r="C782">
        <v>161</v>
      </c>
      <c r="D782">
        <v>7</v>
      </c>
      <c r="E782">
        <v>2</v>
      </c>
    </row>
    <row r="783" spans="2:5">
      <c r="B783" t="s">
        <v>4184</v>
      </c>
      <c r="C783">
        <v>143</v>
      </c>
      <c r="D783">
        <v>4</v>
      </c>
      <c r="E783">
        <v>0</v>
      </c>
    </row>
    <row r="784" spans="2:5">
      <c r="B784" t="s">
        <v>4184</v>
      </c>
      <c r="C784">
        <v>214</v>
      </c>
      <c r="D784">
        <v>10</v>
      </c>
      <c r="E784">
        <v>0</v>
      </c>
    </row>
    <row r="785" spans="2:5">
      <c r="B785" t="s">
        <v>4184</v>
      </c>
      <c r="C785">
        <v>252</v>
      </c>
      <c r="D785">
        <v>11</v>
      </c>
      <c r="E785">
        <v>0</v>
      </c>
    </row>
    <row r="786" spans="2:5">
      <c r="B786" t="s">
        <v>4184</v>
      </c>
      <c r="C786">
        <v>291</v>
      </c>
      <c r="D786">
        <v>11</v>
      </c>
      <c r="E786">
        <v>0</v>
      </c>
    </row>
    <row r="787" spans="2:5">
      <c r="B787" t="s">
        <v>4184</v>
      </c>
      <c r="C787">
        <v>47</v>
      </c>
      <c r="D787">
        <v>1</v>
      </c>
      <c r="E787">
        <v>0</v>
      </c>
    </row>
    <row r="788" spans="2:5">
      <c r="B788" t="s">
        <v>4184</v>
      </c>
      <c r="C788">
        <v>297</v>
      </c>
      <c r="D788">
        <v>11</v>
      </c>
      <c r="E788">
        <v>0</v>
      </c>
    </row>
    <row r="789" spans="2:5">
      <c r="B789" t="s">
        <v>4184</v>
      </c>
      <c r="C789">
        <v>185</v>
      </c>
      <c r="D789">
        <v>6</v>
      </c>
      <c r="E789">
        <v>0</v>
      </c>
    </row>
    <row r="790" spans="2:5">
      <c r="B790" t="s">
        <v>4184</v>
      </c>
      <c r="C790">
        <v>67</v>
      </c>
      <c r="D790">
        <v>1</v>
      </c>
      <c r="E790">
        <v>0</v>
      </c>
    </row>
    <row r="791" spans="2:5">
      <c r="B791" t="s">
        <v>4184</v>
      </c>
      <c r="C791">
        <v>131</v>
      </c>
      <c r="D791">
        <v>3</v>
      </c>
      <c r="E791">
        <v>0</v>
      </c>
    </row>
    <row r="792" spans="2:5">
      <c r="B792" t="s">
        <v>4184</v>
      </c>
      <c r="C792">
        <v>136</v>
      </c>
      <c r="D792">
        <v>5</v>
      </c>
      <c r="E792">
        <v>0</v>
      </c>
    </row>
    <row r="793" spans="2:5">
      <c r="B793" t="s">
        <v>4184</v>
      </c>
      <c r="C793">
        <v>326</v>
      </c>
      <c r="D793">
        <v>12</v>
      </c>
      <c r="E793">
        <v>0</v>
      </c>
    </row>
    <row r="794" spans="2:5">
      <c r="B794" t="s">
        <v>4184</v>
      </c>
      <c r="C794">
        <v>292</v>
      </c>
      <c r="D794">
        <v>16</v>
      </c>
      <c r="E794">
        <v>6</v>
      </c>
    </row>
    <row r="795" spans="2:5">
      <c r="B795" t="s">
        <v>4184</v>
      </c>
      <c r="C795">
        <v>185</v>
      </c>
      <c r="D795">
        <v>6</v>
      </c>
      <c r="E795">
        <v>0</v>
      </c>
    </row>
    <row r="796" spans="2:5">
      <c r="B796" t="s">
        <v>4184</v>
      </c>
      <c r="C796">
        <v>234</v>
      </c>
      <c r="D796">
        <v>5</v>
      </c>
      <c r="E796">
        <v>2</v>
      </c>
    </row>
    <row r="797" spans="2:5">
      <c r="B797" t="s">
        <v>4184</v>
      </c>
      <c r="C797">
        <v>166</v>
      </c>
      <c r="D797">
        <v>7</v>
      </c>
      <c r="E797">
        <v>2</v>
      </c>
    </row>
    <row r="798" spans="2:5">
      <c r="B798" t="s">
        <v>4184</v>
      </c>
      <c r="C798">
        <v>210</v>
      </c>
      <c r="D798">
        <v>8</v>
      </c>
      <c r="E798">
        <v>0</v>
      </c>
    </row>
    <row r="799" spans="2:5">
      <c r="B799" t="s">
        <v>4184</v>
      </c>
      <c r="C799">
        <v>86</v>
      </c>
      <c r="D799">
        <v>2</v>
      </c>
      <c r="E799">
        <v>0</v>
      </c>
    </row>
    <row r="800" spans="2:5">
      <c r="B800" t="s">
        <v>4184</v>
      </c>
      <c r="C800">
        <v>202</v>
      </c>
      <c r="D800">
        <v>8</v>
      </c>
      <c r="E800">
        <v>4</v>
      </c>
    </row>
    <row r="801" spans="2:5">
      <c r="B801" t="s">
        <v>4184</v>
      </c>
      <c r="C801">
        <v>130</v>
      </c>
      <c r="D801">
        <v>7</v>
      </c>
      <c r="E801">
        <v>4</v>
      </c>
    </row>
    <row r="802" spans="2:5">
      <c r="B802" t="s">
        <v>4184</v>
      </c>
      <c r="C802">
        <v>205</v>
      </c>
      <c r="D802">
        <v>8</v>
      </c>
      <c r="E802">
        <v>0</v>
      </c>
    </row>
    <row r="803" spans="2:5">
      <c r="B803" t="s">
        <v>4184</v>
      </c>
      <c r="C803">
        <v>118</v>
      </c>
      <c r="D803">
        <v>4</v>
      </c>
      <c r="E803">
        <v>0</v>
      </c>
    </row>
    <row r="804" spans="2:5">
      <c r="B804" t="s">
        <v>4184</v>
      </c>
      <c r="C804">
        <v>381</v>
      </c>
      <c r="D804">
        <v>13</v>
      </c>
      <c r="E804">
        <v>2</v>
      </c>
    </row>
    <row r="805" spans="2:5">
      <c r="B805" t="s">
        <v>4184</v>
      </c>
      <c r="C805">
        <v>164</v>
      </c>
      <c r="D805">
        <v>4</v>
      </c>
      <c r="E805">
        <v>0</v>
      </c>
    </row>
    <row r="806" spans="2:5">
      <c r="B806" t="s">
        <v>4184</v>
      </c>
      <c r="C806">
        <v>74</v>
      </c>
      <c r="D806">
        <v>2</v>
      </c>
      <c r="E806">
        <v>0</v>
      </c>
    </row>
    <row r="807" spans="2:5">
      <c r="B807" t="s">
        <v>4184</v>
      </c>
      <c r="C807">
        <v>62</v>
      </c>
      <c r="D807">
        <v>3</v>
      </c>
      <c r="E807">
        <v>0</v>
      </c>
    </row>
    <row r="808" spans="2:5">
      <c r="B808" t="s">
        <v>4184</v>
      </c>
      <c r="C808">
        <v>110</v>
      </c>
      <c r="D808">
        <v>3</v>
      </c>
      <c r="E808">
        <v>0</v>
      </c>
    </row>
    <row r="809" spans="2:5">
      <c r="B809" t="s">
        <v>4184</v>
      </c>
      <c r="C809">
        <v>63</v>
      </c>
      <c r="D809">
        <v>2</v>
      </c>
      <c r="E809">
        <v>0</v>
      </c>
    </row>
    <row r="810" spans="2:5">
      <c r="B810" t="s">
        <v>4184</v>
      </c>
      <c r="C810">
        <v>229</v>
      </c>
      <c r="D810">
        <v>7</v>
      </c>
      <c r="E810">
        <v>2</v>
      </c>
    </row>
    <row r="811" spans="2:5">
      <c r="B811" t="s">
        <v>4184</v>
      </c>
      <c r="C811">
        <v>106</v>
      </c>
      <c r="D811">
        <v>3</v>
      </c>
      <c r="E811">
        <v>0</v>
      </c>
    </row>
    <row r="812" spans="2:5">
      <c r="B812" t="s">
        <v>4184</v>
      </c>
      <c r="C812">
        <v>321</v>
      </c>
      <c r="D812">
        <v>9</v>
      </c>
      <c r="E812">
        <v>0</v>
      </c>
    </row>
    <row r="813" spans="2:5">
      <c r="B813" t="s">
        <v>4184</v>
      </c>
      <c r="C813">
        <v>649</v>
      </c>
      <c r="D813">
        <v>20</v>
      </c>
      <c r="E813">
        <v>0</v>
      </c>
    </row>
    <row r="814" spans="2:5">
      <c r="B814" t="s">
        <v>4184</v>
      </c>
      <c r="C814">
        <v>66</v>
      </c>
      <c r="D814">
        <v>2</v>
      </c>
      <c r="E814">
        <v>0</v>
      </c>
    </row>
    <row r="815" spans="2:5">
      <c r="B815" t="s">
        <v>4184</v>
      </c>
      <c r="C815">
        <v>206</v>
      </c>
      <c r="D815">
        <v>5</v>
      </c>
      <c r="E815">
        <v>0</v>
      </c>
    </row>
    <row r="816" spans="2:5">
      <c r="B816" t="s">
        <v>4184</v>
      </c>
      <c r="C816">
        <v>355</v>
      </c>
      <c r="D816">
        <v>10</v>
      </c>
      <c r="E816">
        <v>0</v>
      </c>
    </row>
    <row r="817" spans="2:5">
      <c r="B817" t="s">
        <v>4184</v>
      </c>
      <c r="C817">
        <v>200</v>
      </c>
      <c r="D817">
        <v>1</v>
      </c>
      <c r="E817">
        <v>0</v>
      </c>
    </row>
    <row r="818" spans="2:5">
      <c r="B818" t="s">
        <v>4184</v>
      </c>
      <c r="C818">
        <v>105</v>
      </c>
      <c r="D818">
        <v>2</v>
      </c>
      <c r="E818">
        <v>0</v>
      </c>
    </row>
    <row r="819" spans="2:5">
      <c r="B819" t="s">
        <v>4184</v>
      </c>
      <c r="C819">
        <v>280</v>
      </c>
      <c r="D819">
        <v>11</v>
      </c>
      <c r="E819">
        <v>0</v>
      </c>
    </row>
    <row r="820" spans="2:5">
      <c r="B820" t="s">
        <v>4184</v>
      </c>
      <c r="C820">
        <v>285</v>
      </c>
      <c r="D820">
        <v>12</v>
      </c>
      <c r="E820">
        <v>2</v>
      </c>
    </row>
    <row r="821" spans="2:5">
      <c r="B821" t="s">
        <v>4184</v>
      </c>
      <c r="C821">
        <v>94</v>
      </c>
      <c r="D821">
        <v>2</v>
      </c>
      <c r="E821">
        <v>0</v>
      </c>
    </row>
    <row r="822" spans="2:5">
      <c r="B822" t="s">
        <v>4184</v>
      </c>
      <c r="C822">
        <v>63</v>
      </c>
      <c r="D822">
        <v>1</v>
      </c>
      <c r="E822">
        <v>0</v>
      </c>
    </row>
    <row r="823" spans="2:5">
      <c r="B823" t="s">
        <v>4184</v>
      </c>
      <c r="C823">
        <v>117</v>
      </c>
      <c r="D823">
        <v>2</v>
      </c>
      <c r="E823">
        <v>0</v>
      </c>
    </row>
    <row r="824" spans="2:5">
      <c r="B824" t="s">
        <v>4184</v>
      </c>
      <c r="C824">
        <v>217</v>
      </c>
      <c r="D824">
        <v>6</v>
      </c>
      <c r="E824">
        <v>0</v>
      </c>
    </row>
    <row r="825" spans="2:5">
      <c r="B825" t="s">
        <v>4184</v>
      </c>
      <c r="C825">
        <v>128</v>
      </c>
      <c r="D825">
        <v>2</v>
      </c>
      <c r="E825">
        <v>0</v>
      </c>
    </row>
    <row r="826" spans="2:5">
      <c r="B826" t="s">
        <v>4184</v>
      </c>
      <c r="C826">
        <v>117</v>
      </c>
      <c r="D826">
        <v>5</v>
      </c>
      <c r="E826">
        <v>0</v>
      </c>
    </row>
    <row r="827" spans="2:5">
      <c r="B827" t="s">
        <v>4184</v>
      </c>
      <c r="C827">
        <v>193</v>
      </c>
      <c r="D827">
        <v>4</v>
      </c>
      <c r="E827">
        <v>0</v>
      </c>
    </row>
    <row r="828" spans="2:5">
      <c r="B828" t="s">
        <v>4184</v>
      </c>
      <c r="C828">
        <v>247</v>
      </c>
      <c r="D828">
        <v>8</v>
      </c>
      <c r="E828">
        <v>0</v>
      </c>
    </row>
    <row r="829" spans="2:5">
      <c r="B829" t="s">
        <v>4184</v>
      </c>
      <c r="C829">
        <v>353</v>
      </c>
      <c r="D829">
        <v>4</v>
      </c>
      <c r="E829">
        <v>0</v>
      </c>
    </row>
    <row r="830" spans="2:5">
      <c r="B830" t="s">
        <v>4184</v>
      </c>
      <c r="C830">
        <v>225</v>
      </c>
      <c r="D830">
        <v>7</v>
      </c>
      <c r="E830">
        <v>3</v>
      </c>
    </row>
    <row r="831" spans="2:5">
      <c r="B831" t="s">
        <v>4184</v>
      </c>
      <c r="C831">
        <v>106</v>
      </c>
      <c r="D831">
        <v>4</v>
      </c>
      <c r="E831">
        <v>0</v>
      </c>
    </row>
    <row r="832" spans="2:5">
      <c r="B832" t="s">
        <v>4184</v>
      </c>
      <c r="C832">
        <v>317</v>
      </c>
      <c r="D832">
        <v>7</v>
      </c>
      <c r="E832">
        <v>0</v>
      </c>
    </row>
    <row r="833" spans="2:5">
      <c r="B833" t="s">
        <v>4184</v>
      </c>
      <c r="C833">
        <v>624</v>
      </c>
      <c r="D833">
        <v>15</v>
      </c>
      <c r="E833">
        <v>0</v>
      </c>
    </row>
    <row r="834" spans="2:5">
      <c r="B834" t="s">
        <v>4184</v>
      </c>
      <c r="C834">
        <v>805</v>
      </c>
      <c r="D834">
        <v>24</v>
      </c>
      <c r="E834">
        <v>7</v>
      </c>
    </row>
    <row r="835" spans="2:5">
      <c r="B835" t="s">
        <v>4184</v>
      </c>
      <c r="C835">
        <v>378</v>
      </c>
      <c r="D835">
        <v>13</v>
      </c>
      <c r="E835">
        <v>0</v>
      </c>
    </row>
    <row r="836" spans="2:5">
      <c r="B836" t="s">
        <v>4184</v>
      </c>
      <c r="C836">
        <v>95</v>
      </c>
      <c r="D836">
        <v>2</v>
      </c>
      <c r="E836">
        <v>0</v>
      </c>
    </row>
    <row r="837" spans="2:5">
      <c r="B837" t="s">
        <v>4184</v>
      </c>
      <c r="C837">
        <v>143</v>
      </c>
      <c r="D837">
        <v>1</v>
      </c>
      <c r="E837">
        <v>0</v>
      </c>
    </row>
    <row r="838" spans="2:5">
      <c r="B838" t="s">
        <v>4184</v>
      </c>
      <c r="C838">
        <v>506</v>
      </c>
      <c r="D838">
        <v>10</v>
      </c>
      <c r="E838">
        <v>0</v>
      </c>
    </row>
    <row r="839" spans="2:5">
      <c r="B839" t="s">
        <v>4184</v>
      </c>
      <c r="C839">
        <v>128</v>
      </c>
      <c r="D839">
        <v>3</v>
      </c>
      <c r="E839">
        <v>0</v>
      </c>
    </row>
    <row r="840" spans="2:5">
      <c r="B840" t="s">
        <v>4184</v>
      </c>
      <c r="C840">
        <v>363</v>
      </c>
      <c r="D840">
        <v>8</v>
      </c>
      <c r="E840">
        <v>0</v>
      </c>
    </row>
    <row r="841" spans="2:5">
      <c r="B841" t="s">
        <v>4184</v>
      </c>
      <c r="C841">
        <v>326</v>
      </c>
      <c r="D841">
        <v>9</v>
      </c>
      <c r="E841">
        <v>4</v>
      </c>
    </row>
    <row r="842" spans="2:5">
      <c r="B842" t="s">
        <v>4184</v>
      </c>
      <c r="C842">
        <v>273</v>
      </c>
      <c r="D842">
        <v>7</v>
      </c>
      <c r="E842">
        <v>0</v>
      </c>
    </row>
    <row r="843" spans="2:5">
      <c r="B843" t="s">
        <v>4184</v>
      </c>
      <c r="C843">
        <v>509</v>
      </c>
      <c r="D843">
        <v>13</v>
      </c>
      <c r="E843">
        <v>0</v>
      </c>
    </row>
    <row r="844" spans="2:5">
      <c r="B844" t="s">
        <v>4184</v>
      </c>
      <c r="C844">
        <v>46</v>
      </c>
      <c r="D844">
        <v>1</v>
      </c>
      <c r="E844">
        <v>0</v>
      </c>
    </row>
    <row r="845" spans="2:5">
      <c r="B845" t="s">
        <v>4184</v>
      </c>
      <c r="C845">
        <v>141</v>
      </c>
      <c r="D845">
        <v>3</v>
      </c>
      <c r="E845">
        <v>0</v>
      </c>
    </row>
    <row r="846" spans="2:5">
      <c r="B846" t="s">
        <v>4184</v>
      </c>
      <c r="C846">
        <v>671</v>
      </c>
      <c r="D846">
        <v>20</v>
      </c>
      <c r="E846">
        <v>4</v>
      </c>
    </row>
    <row r="847" spans="2:5">
      <c r="B847" t="s">
        <v>4184</v>
      </c>
      <c r="C847">
        <v>95</v>
      </c>
      <c r="D847">
        <v>2</v>
      </c>
      <c r="E847">
        <v>0</v>
      </c>
    </row>
    <row r="848" spans="2:5">
      <c r="B848" t="s">
        <v>4184</v>
      </c>
      <c r="C848">
        <v>48</v>
      </c>
      <c r="D848">
        <v>1</v>
      </c>
      <c r="E848">
        <v>0</v>
      </c>
    </row>
    <row r="849" spans="2:5">
      <c r="B849" t="s">
        <v>4184</v>
      </c>
      <c r="C849">
        <v>444</v>
      </c>
      <c r="D849">
        <v>9</v>
      </c>
      <c r="E849">
        <v>0</v>
      </c>
    </row>
    <row r="850" spans="2:5">
      <c r="B850" t="s">
        <v>4184</v>
      </c>
      <c r="C850">
        <v>473</v>
      </c>
      <c r="D850">
        <v>13</v>
      </c>
      <c r="E850">
        <v>2</v>
      </c>
    </row>
    <row r="851" spans="2:5">
      <c r="B851" t="s">
        <v>4184</v>
      </c>
      <c r="C851">
        <v>184</v>
      </c>
      <c r="D851">
        <v>5</v>
      </c>
      <c r="E851">
        <v>0</v>
      </c>
    </row>
    <row r="852" spans="2:5">
      <c r="B852" t="s">
        <v>4184</v>
      </c>
      <c r="C852">
        <v>148</v>
      </c>
      <c r="D852">
        <v>3</v>
      </c>
      <c r="E852">
        <v>0</v>
      </c>
    </row>
    <row r="853" spans="2:5">
      <c r="B853" t="s">
        <v>4184</v>
      </c>
      <c r="C853">
        <v>137</v>
      </c>
      <c r="D853">
        <v>2</v>
      </c>
      <c r="E853">
        <v>0</v>
      </c>
    </row>
    <row r="854" spans="2:5">
      <c r="B854" t="s">
        <v>4184</v>
      </c>
      <c r="C854">
        <v>552</v>
      </c>
      <c r="D854">
        <v>10</v>
      </c>
      <c r="E854">
        <v>0</v>
      </c>
    </row>
    <row r="855" spans="2:5">
      <c r="B855" t="s">
        <v>4184</v>
      </c>
      <c r="C855">
        <v>388</v>
      </c>
      <c r="D855">
        <v>7</v>
      </c>
      <c r="E855">
        <v>0</v>
      </c>
    </row>
    <row r="856" spans="2:5">
      <c r="B856" t="s">
        <v>4184</v>
      </c>
      <c r="C856">
        <v>117</v>
      </c>
      <c r="D856">
        <v>3</v>
      </c>
      <c r="E856">
        <v>0</v>
      </c>
    </row>
    <row r="857" spans="2:5">
      <c r="B857" t="s">
        <v>4184</v>
      </c>
      <c r="C857">
        <v>50</v>
      </c>
      <c r="D857">
        <v>1</v>
      </c>
      <c r="E857">
        <v>0</v>
      </c>
    </row>
    <row r="858" spans="2:5">
      <c r="B858" t="s">
        <v>4184</v>
      </c>
      <c r="C858">
        <v>261</v>
      </c>
      <c r="D858">
        <v>5</v>
      </c>
      <c r="E858">
        <v>0</v>
      </c>
    </row>
    <row r="859" spans="2:5">
      <c r="B859" t="s">
        <v>4184</v>
      </c>
      <c r="C859">
        <v>110</v>
      </c>
      <c r="D859">
        <v>2</v>
      </c>
      <c r="E859">
        <v>0</v>
      </c>
    </row>
    <row r="860" spans="2:5">
      <c r="B860" t="s">
        <v>4184</v>
      </c>
      <c r="C860">
        <v>96</v>
      </c>
      <c r="D860">
        <v>1</v>
      </c>
      <c r="E860">
        <v>0</v>
      </c>
    </row>
    <row r="861" spans="2:5">
      <c r="B861" t="s">
        <v>4184</v>
      </c>
      <c r="C861">
        <v>176</v>
      </c>
      <c r="D861">
        <v>3</v>
      </c>
      <c r="E861">
        <v>0</v>
      </c>
    </row>
    <row r="862" spans="2:5">
      <c r="B862" t="s">
        <v>4184</v>
      </c>
      <c r="C862">
        <v>225</v>
      </c>
      <c r="D862">
        <v>3</v>
      </c>
      <c r="E862">
        <v>0</v>
      </c>
    </row>
    <row r="863" spans="2:5">
      <c r="B863" t="s">
        <v>4184</v>
      </c>
      <c r="C863">
        <v>132</v>
      </c>
      <c r="D863">
        <v>1</v>
      </c>
      <c r="E863">
        <v>0</v>
      </c>
    </row>
    <row r="864" spans="2:5">
      <c r="B864" t="s">
        <v>4184</v>
      </c>
      <c r="C864">
        <v>392</v>
      </c>
      <c r="D864">
        <v>4</v>
      </c>
      <c r="E864">
        <v>0</v>
      </c>
    </row>
    <row r="865" spans="2:5">
      <c r="B865" t="s">
        <v>4184</v>
      </c>
      <c r="C865">
        <v>130</v>
      </c>
      <c r="D865">
        <v>2</v>
      </c>
      <c r="E865">
        <v>0</v>
      </c>
    </row>
    <row r="866" spans="2:5">
      <c r="B866" t="s">
        <v>4184</v>
      </c>
      <c r="C866">
        <v>213</v>
      </c>
      <c r="D866">
        <v>2</v>
      </c>
      <c r="E866">
        <v>0</v>
      </c>
    </row>
    <row r="867" spans="2:5">
      <c r="B867" t="s">
        <v>4184</v>
      </c>
      <c r="C867">
        <v>377</v>
      </c>
      <c r="D867">
        <v>6</v>
      </c>
      <c r="E867">
        <v>0</v>
      </c>
    </row>
    <row r="868" spans="2:5">
      <c r="B868" t="s">
        <v>4184</v>
      </c>
      <c r="C868">
        <v>209</v>
      </c>
      <c r="D868">
        <v>2</v>
      </c>
      <c r="E868">
        <v>0</v>
      </c>
    </row>
    <row r="869" spans="2:5">
      <c r="B869" t="s">
        <v>4184</v>
      </c>
      <c r="C869">
        <v>108</v>
      </c>
      <c r="D869">
        <v>1</v>
      </c>
      <c r="E869">
        <v>0</v>
      </c>
    </row>
    <row r="870" spans="2:5">
      <c r="B870" t="s">
        <v>4184</v>
      </c>
      <c r="C870">
        <v>66</v>
      </c>
      <c r="D870">
        <v>1</v>
      </c>
      <c r="E870">
        <v>0</v>
      </c>
    </row>
    <row r="871" spans="2:5">
      <c r="B871" t="s">
        <v>4184</v>
      </c>
      <c r="C871">
        <v>310</v>
      </c>
      <c r="D871">
        <v>4</v>
      </c>
      <c r="E871">
        <v>0</v>
      </c>
    </row>
    <row r="872" spans="2:5">
      <c r="B872" t="s">
        <v>4184</v>
      </c>
      <c r="C872">
        <v>110</v>
      </c>
      <c r="D872">
        <v>2</v>
      </c>
      <c r="E872">
        <v>2</v>
      </c>
    </row>
    <row r="873" spans="2:5">
      <c r="B873" t="s">
        <v>4184</v>
      </c>
      <c r="C873">
        <v>92</v>
      </c>
      <c r="D873">
        <v>1</v>
      </c>
      <c r="E873">
        <v>0</v>
      </c>
    </row>
    <row r="874" spans="2:5">
      <c r="B874" t="s">
        <v>4184</v>
      </c>
      <c r="C874">
        <v>251</v>
      </c>
      <c r="D874">
        <v>3</v>
      </c>
      <c r="E874">
        <v>0</v>
      </c>
    </row>
    <row r="875" spans="2:5">
      <c r="B875" t="s">
        <v>4184</v>
      </c>
      <c r="C875">
        <v>203</v>
      </c>
      <c r="D875">
        <v>2</v>
      </c>
      <c r="E875">
        <v>0</v>
      </c>
    </row>
    <row r="876" spans="2:5">
      <c r="B876" t="s">
        <v>4184</v>
      </c>
      <c r="C876">
        <v>126</v>
      </c>
      <c r="D876">
        <v>1</v>
      </c>
      <c r="E876">
        <v>0</v>
      </c>
    </row>
    <row r="877" spans="2:5">
      <c r="B877" t="s">
        <v>4184</v>
      </c>
      <c r="C877">
        <v>271</v>
      </c>
      <c r="D877">
        <v>4</v>
      </c>
      <c r="E877">
        <v>0</v>
      </c>
    </row>
    <row r="878" spans="2:5">
      <c r="B878" t="s">
        <v>4184</v>
      </c>
      <c r="C878">
        <v>270</v>
      </c>
      <c r="D878">
        <v>3</v>
      </c>
      <c r="E878">
        <v>0</v>
      </c>
    </row>
    <row r="879" spans="2:5">
      <c r="B879" t="s">
        <v>4184</v>
      </c>
      <c r="C879">
        <v>483</v>
      </c>
      <c r="D879">
        <v>6</v>
      </c>
      <c r="E879">
        <v>0</v>
      </c>
    </row>
    <row r="880" spans="2:5">
      <c r="B880" t="s">
        <v>4184</v>
      </c>
      <c r="C880">
        <v>327</v>
      </c>
      <c r="D880">
        <v>3</v>
      </c>
      <c r="E880">
        <v>0</v>
      </c>
    </row>
    <row r="881" spans="2:5">
      <c r="B881" t="s">
        <v>4184</v>
      </c>
      <c r="C881">
        <v>397</v>
      </c>
      <c r="D881">
        <v>4</v>
      </c>
      <c r="E881">
        <v>2</v>
      </c>
    </row>
    <row r="882" spans="2:5">
      <c r="B882" t="s">
        <v>4184</v>
      </c>
      <c r="C882">
        <v>309</v>
      </c>
      <c r="D882">
        <v>3</v>
      </c>
      <c r="E882">
        <v>0</v>
      </c>
    </row>
    <row r="883" spans="2:5">
      <c r="B883" t="s">
        <v>4184</v>
      </c>
      <c r="C883">
        <v>154</v>
      </c>
      <c r="D883">
        <v>1</v>
      </c>
      <c r="E883">
        <v>0</v>
      </c>
    </row>
    <row r="884" spans="2:5">
      <c r="B884" t="s">
        <v>4184</v>
      </c>
      <c r="C884">
        <v>106</v>
      </c>
      <c r="D884">
        <v>1</v>
      </c>
      <c r="E884">
        <v>0</v>
      </c>
    </row>
    <row r="885" spans="2:5">
      <c r="B885" t="s">
        <v>4184</v>
      </c>
      <c r="C885">
        <v>395</v>
      </c>
      <c r="D885">
        <v>4</v>
      </c>
      <c r="E885">
        <v>2</v>
      </c>
    </row>
    <row r="886" spans="2:5">
      <c r="B886" t="s">
        <v>4184</v>
      </c>
      <c r="C886">
        <v>148</v>
      </c>
      <c r="D886">
        <v>1</v>
      </c>
      <c r="E886">
        <v>0</v>
      </c>
    </row>
    <row r="887" spans="2:5">
      <c r="B887" t="s">
        <v>4184</v>
      </c>
      <c r="C887">
        <v>254</v>
      </c>
      <c r="D887">
        <v>2</v>
      </c>
      <c r="E887">
        <v>0</v>
      </c>
    </row>
    <row r="888" spans="2:5">
      <c r="B888" t="s">
        <v>4184</v>
      </c>
      <c r="C888">
        <v>332</v>
      </c>
      <c r="D888">
        <v>2</v>
      </c>
      <c r="E888">
        <v>0</v>
      </c>
    </row>
    <row r="889" spans="2:5">
      <c r="B889" t="s">
        <v>4184</v>
      </c>
      <c r="C889">
        <v>135</v>
      </c>
      <c r="D889">
        <v>1</v>
      </c>
      <c r="E889">
        <v>0</v>
      </c>
    </row>
    <row r="890" spans="2:5">
      <c r="B890" t="s">
        <v>4184</v>
      </c>
      <c r="C890">
        <v>205</v>
      </c>
      <c r="D890">
        <v>1</v>
      </c>
      <c r="E890">
        <v>0</v>
      </c>
    </row>
    <row r="891" spans="2:5">
      <c r="B891" t="s">
        <v>4184</v>
      </c>
      <c r="C891">
        <v>249</v>
      </c>
      <c r="D891">
        <v>1</v>
      </c>
      <c r="E891">
        <v>0</v>
      </c>
    </row>
    <row r="892" spans="2:5">
      <c r="B892" t="s">
        <v>4184</v>
      </c>
      <c r="C892">
        <v>266</v>
      </c>
      <c r="D892">
        <v>1</v>
      </c>
      <c r="E892">
        <v>0</v>
      </c>
    </row>
    <row r="893" spans="2:5">
      <c r="B893" t="s">
        <v>4184</v>
      </c>
      <c r="C893">
        <v>36</v>
      </c>
      <c r="D893">
        <v>0</v>
      </c>
      <c r="E893">
        <v>0</v>
      </c>
    </row>
    <row r="894" spans="2:5">
      <c r="B894" t="s">
        <v>4184</v>
      </c>
      <c r="C894">
        <v>163</v>
      </c>
      <c r="D894">
        <v>0</v>
      </c>
      <c r="E894">
        <v>0</v>
      </c>
    </row>
    <row r="895" spans="2:5">
      <c r="B895" t="s">
        <v>4184</v>
      </c>
      <c r="C895">
        <v>205</v>
      </c>
      <c r="D895">
        <v>0</v>
      </c>
      <c r="E895">
        <v>0</v>
      </c>
    </row>
    <row r="896" spans="2:5">
      <c r="B896" t="s">
        <v>4184</v>
      </c>
      <c r="C896">
        <v>64</v>
      </c>
      <c r="D896">
        <v>0</v>
      </c>
      <c r="E896">
        <v>0</v>
      </c>
    </row>
    <row r="897" spans="2:5">
      <c r="B897" t="s">
        <v>4184</v>
      </c>
      <c r="C897">
        <v>145</v>
      </c>
      <c r="D897">
        <v>0</v>
      </c>
      <c r="E897">
        <v>0</v>
      </c>
    </row>
    <row r="898" spans="2:5">
      <c r="B898" t="s">
        <v>4184</v>
      </c>
      <c r="C898">
        <v>50</v>
      </c>
      <c r="D898">
        <v>0</v>
      </c>
      <c r="E898">
        <v>0</v>
      </c>
    </row>
    <row r="899" spans="2:5">
      <c r="B899" t="s">
        <v>4184</v>
      </c>
      <c r="C899">
        <v>45</v>
      </c>
      <c r="D899">
        <v>0</v>
      </c>
      <c r="E899">
        <v>0</v>
      </c>
    </row>
    <row r="900" spans="2:5">
      <c r="B900" t="s">
        <v>4184</v>
      </c>
      <c r="C900">
        <v>82</v>
      </c>
      <c r="D900">
        <v>0</v>
      </c>
      <c r="E900">
        <v>0</v>
      </c>
    </row>
    <row r="901" spans="2:5">
      <c r="B901" t="s">
        <v>4184</v>
      </c>
      <c r="C901">
        <v>81</v>
      </c>
      <c r="D901">
        <v>0</v>
      </c>
      <c r="E901">
        <v>0</v>
      </c>
    </row>
    <row r="902" spans="2:5">
      <c r="B902" t="s">
        <v>4184</v>
      </c>
      <c r="C902">
        <v>71</v>
      </c>
      <c r="D902">
        <v>0</v>
      </c>
      <c r="E902">
        <v>0</v>
      </c>
    </row>
    <row r="903" spans="2:5">
      <c r="B903" t="s">
        <v>4184</v>
      </c>
      <c r="C903">
        <v>113</v>
      </c>
      <c r="D903">
        <v>0</v>
      </c>
      <c r="E903">
        <v>0</v>
      </c>
    </row>
    <row r="904" spans="2:5">
      <c r="B904" t="s">
        <v>4184</v>
      </c>
      <c r="C904">
        <v>72</v>
      </c>
      <c r="D904">
        <v>0</v>
      </c>
      <c r="E904">
        <v>0</v>
      </c>
    </row>
    <row r="905" spans="2:5">
      <c r="B905" t="s">
        <v>4184</v>
      </c>
      <c r="C905">
        <v>116</v>
      </c>
      <c r="D905">
        <v>0</v>
      </c>
      <c r="E905">
        <v>0</v>
      </c>
    </row>
    <row r="906" spans="2:5">
      <c r="B906" t="s">
        <v>4184</v>
      </c>
      <c r="C906">
        <v>87</v>
      </c>
      <c r="D906">
        <v>0</v>
      </c>
      <c r="E906">
        <v>0</v>
      </c>
    </row>
    <row r="907" spans="2:5">
      <c r="B907" t="s">
        <v>4184</v>
      </c>
      <c r="C907">
        <v>151</v>
      </c>
      <c r="D907">
        <v>0</v>
      </c>
      <c r="E9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MATCHED</vt:lpstr>
      <vt:lpstr>cd</vt:lpstr>
      <vt:lpstr>ho</vt:lpstr>
      <vt:lpstr>Gene length</vt:lpstr>
      <vt:lpstr>Sheet1</vt:lpstr>
      <vt:lpstr>ho!Criteria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Merrikh</dc:creator>
  <cp:lastModifiedBy>Leonard Harris</cp:lastModifiedBy>
  <dcterms:created xsi:type="dcterms:W3CDTF">2017-02-13T17:30:53Z</dcterms:created>
  <dcterms:modified xsi:type="dcterms:W3CDTF">2020-05-20T00:48:28Z</dcterms:modified>
</cp:coreProperties>
</file>